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bookViews>
    <workbookView xWindow="9585" yWindow="65521" windowWidth="9630" windowHeight="11955" activeTab="0"/>
  </bookViews>
  <sheets>
    <sheet name="Spis tablic" sheetId="61" r:id="rId1"/>
    <sheet name="TABL.I.1" sheetId="1" r:id="rId2"/>
    <sheet name="TABL.I.2" sheetId="9" r:id="rId3"/>
    <sheet name="TABL.I.3" sheetId="12" r:id="rId4"/>
    <sheet name="TABL.I.4" sheetId="13" r:id="rId5"/>
    <sheet name="TABL.I.5" sheetId="8" r:id="rId6"/>
    <sheet name="TABL.I.6" sheetId="14" r:id="rId7"/>
    <sheet name="TABL.I.7" sheetId="15" r:id="rId8"/>
    <sheet name="TABL.I.8" sheetId="16" r:id="rId9"/>
    <sheet name="TABL.I.9" sheetId="17" r:id="rId10"/>
    <sheet name="TABL.I.10" sheetId="18" r:id="rId11"/>
    <sheet name="TABL.I.11" sheetId="19" r:id="rId12"/>
    <sheet name="TABL.I.12" sheetId="20" r:id="rId13"/>
    <sheet name="TABL.I.13" sheetId="21" r:id="rId14"/>
    <sheet name="TABL.I.14" sheetId="22" r:id="rId15"/>
    <sheet name="TABL.I.15" sheetId="23" r:id="rId16"/>
    <sheet name="TABL.I.16" sheetId="24" r:id="rId17"/>
    <sheet name="TABL.I.17" sheetId="25" r:id="rId18"/>
    <sheet name="TABL.II.18" sheetId="10" r:id="rId19"/>
    <sheet name="TABL.II.19" sheetId="26" r:id="rId20"/>
    <sheet name="TABL.II.20" sheetId="27" r:id="rId21"/>
    <sheet name="TABL.II.21" sheetId="28" r:id="rId22"/>
    <sheet name="TABL.II.22" sheetId="3" r:id="rId23"/>
    <sheet name="TABL.II.23" sheetId="29" r:id="rId24"/>
    <sheet name="TABL.II.24" sheetId="30" r:id="rId25"/>
    <sheet name="TABL.II.25" sheetId="31" r:id="rId26"/>
    <sheet name="TABL.II.26" sheetId="11" r:id="rId27"/>
    <sheet name="TABL.II.27" sheetId="32" r:id="rId28"/>
    <sheet name="TABL.II.28" sheetId="33" r:id="rId29"/>
    <sheet name="TABL.II.29" sheetId="34" r:id="rId30"/>
    <sheet name="TABL.II.30" sheetId="35" r:id="rId31"/>
    <sheet name="TABL.II.31" sheetId="36" r:id="rId32"/>
    <sheet name="TABL.II.32" sheetId="37" r:id="rId33"/>
    <sheet name="TABL.II.33" sheetId="38" r:id="rId34"/>
    <sheet name="TABL.II.34" sheetId="39" r:id="rId35"/>
    <sheet name="TABL.II.35" sheetId="40" r:id="rId36"/>
    <sheet name="TABL.II.36" sheetId="41" r:id="rId37"/>
    <sheet name="TABL.II.37" sheetId="42" r:id="rId38"/>
    <sheet name="TABL.II.38" sheetId="43" r:id="rId39"/>
    <sheet name="TABL.II.39" sheetId="44" r:id="rId40"/>
    <sheet name="TABL.II.40" sheetId="2" r:id="rId41"/>
    <sheet name="TABL.II.41" sheetId="45" r:id="rId42"/>
    <sheet name="TABL.III.42G" sheetId="46" r:id="rId43"/>
    <sheet name="TABL.III.43G" sheetId="47" r:id="rId44"/>
    <sheet name="TABL.III.44G" sheetId="48" r:id="rId45"/>
    <sheet name="TABL.III.45G" sheetId="49" r:id="rId46"/>
    <sheet name="TABL.III.46G" sheetId="50" r:id="rId47"/>
    <sheet name="TABL.III.47G" sheetId="51" r:id="rId48"/>
    <sheet name="TABL.III.48S i 49" sheetId="52" r:id="rId49"/>
    <sheet name="TABL.III.50G" sheetId="54" r:id="rId50"/>
    <sheet name="TABL.III.51S" sheetId="55" r:id="rId51"/>
    <sheet name="TABL.III.52G i 53" sheetId="56" r:id="rId52"/>
    <sheet name="Arkusz2" sheetId="63" r:id="rId53"/>
  </sheets>
  <definedNames/>
  <calcPr calcId="152511"/>
</workbook>
</file>

<file path=xl/sharedStrings.xml><?xml version="1.0" encoding="utf-8"?>
<sst xmlns="http://schemas.openxmlformats.org/spreadsheetml/2006/main" count="2026" uniqueCount="1007">
  <si>
    <t xml:space="preserve">Kujawsko-pomorskie </t>
  </si>
  <si>
    <t xml:space="preserve">Warmińsko-mazurskie </t>
  </si>
  <si>
    <t xml:space="preserve">Wielkopolskie </t>
  </si>
  <si>
    <t xml:space="preserve">Zachodniopomorskie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</si>
  <si>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</si>
  <si>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</si>
  <si>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</si>
  <si>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</si>
  <si>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</si>
  <si>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</si>
  <si>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</si>
  <si>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</si>
  <si>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</si>
  <si>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</si>
  <si>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</si>
  <si>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</si>
  <si>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2004=100</t>
  </si>
  <si>
    <t>2009=100</t>
  </si>
  <si>
    <t>2014=100</t>
  </si>
  <si>
    <t>2015=100</t>
  </si>
  <si>
    <t>Non-agricultural social security system</t>
  </si>
  <si>
    <t>Monthly average gross retirement pension from non-agricultural social security system in zl</t>
  </si>
  <si>
    <t>Relation in %</t>
  </si>
  <si>
    <t>1 000,07</t>
  </si>
  <si>
    <t>1 305,75</t>
  </si>
  <si>
    <t>1 755,19</t>
  </si>
  <si>
    <t>1 844,66</t>
  </si>
  <si>
    <t>1 938,09</t>
  </si>
  <si>
    <t>2 041,68</t>
  </si>
  <si>
    <t xml:space="preserve">2 117,35 </t>
  </si>
  <si>
    <t xml:space="preserve">120 666 </t>
  </si>
  <si>
    <t xml:space="preserve">14 962 </t>
  </si>
  <si>
    <t>205 804</t>
  </si>
  <si>
    <t>188 773</t>
  </si>
  <si>
    <t>6 389,8</t>
  </si>
  <si>
    <t>8 157,3</t>
  </si>
  <si>
    <t>1 316,8</t>
  </si>
  <si>
    <t>2 049,26</t>
  </si>
  <si>
    <t>1 588,95</t>
  </si>
  <si>
    <t>1 980,96</t>
  </si>
  <si>
    <t>2 745,24</t>
  </si>
  <si>
    <t>3 229,08</t>
  </si>
  <si>
    <t>2 673,74</t>
  </si>
  <si>
    <t>3 302,53</t>
  </si>
  <si>
    <t>2 802,12</t>
  </si>
  <si>
    <t>3 434,15</t>
  </si>
  <si>
    <t>1 179,63</t>
  </si>
  <si>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</si>
  <si>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a) Including accident pensions financed from the SIF, paid from the MND, the MIA, and the MJ simultaneously to retirement pensions from the MND, the MIA, and the MJ not included by ministries.</t>
  </si>
  <si>
    <t xml:space="preserve">a) Łącznie z rentami wypadkowymi finansowanymi z FUS a wypłacanymi przez MON, MSWiA oraz MS w zbiegu z emeryturami finansowanymi z budżetu MON, MSWiA oraz MS nie uwzględnionymi przez ministerstwa. </t>
  </si>
  <si>
    <t>a) Przyporządkowanie do województw według siedziby oddziału ZUS dokonującego wypłaty emerytury bądź renty dla danego świadczeniobiorcy. b) Bez osób posiadających prawo także do świadczenia rolniczego. c) Łącznie z osobami pobierającymi renty wypadkowe finansowane z FUS a wypłacane przez MON, MS i MSWiA w zbiegu z emeryturami finansowanymi z budżetu MON, MS i MSWiA nie uwzględnionymi w podziale na województwa.</t>
  </si>
  <si>
    <t>a) Assignment to the voivodship by a branch of the SII paying particular retirement or other pension. b) Excluding persons with simultaneous right to agricultural benefit. c) Including persons, receiving accident pensions financed from the SIF and paid by the MND, the MIA, the MJ simultaneously to retirement pensions financed from the MND, the MIA, the MJ not included in the territorial distribution by voivodships.</t>
  </si>
  <si>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MJ as well as the MIA with retirement pensions financed from budgets of these entities. </t>
  </si>
  <si>
    <t xml:space="preserve">Annuity retirement pensions </t>
  </si>
  <si>
    <t xml:space="preserve">miners </t>
  </si>
  <si>
    <t xml:space="preserve">teachers </t>
  </si>
  <si>
    <t xml:space="preserve">self-employed persons </t>
  </si>
  <si>
    <t>combatants</t>
  </si>
  <si>
    <t>war and military invalids, repression victims</t>
  </si>
  <si>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budżetu MON, MSWiA i MS. </t>
  </si>
  <si>
    <t xml:space="preserve">a) Łącznie z emerytami i rencistami, którzy otrzymują świadczenia MON, MSW oraz MS nieuwzględnionymi w podziale na województwa. </t>
  </si>
  <si>
    <t xml:space="preserve">a) Including retirees and pensioners receiving benefits from the MND, the MI as well as the MJ, not included in the territorial distribution by voivodships. </t>
  </si>
  <si>
    <t xml:space="preserve">54 lata i mniej  </t>
  </si>
  <si>
    <t>years and less</t>
  </si>
  <si>
    <t>55-59</t>
  </si>
  <si>
    <t>60-64</t>
  </si>
  <si>
    <t>65-69</t>
  </si>
  <si>
    <t xml:space="preserve">70-74 </t>
  </si>
  <si>
    <t>75-79</t>
  </si>
  <si>
    <t>80 lat i więcej</t>
  </si>
  <si>
    <t>years and more</t>
  </si>
  <si>
    <t xml:space="preserve">29 lat i mniej  </t>
  </si>
  <si>
    <t>30-39</t>
  </si>
  <si>
    <t>40-49</t>
  </si>
  <si>
    <t>50-54</t>
  </si>
  <si>
    <t>65 lat i więcej</t>
  </si>
  <si>
    <t>a) Bez osób posiadających prawo także do świadczenia rolniczego, bez emerytur pomostowych.</t>
  </si>
  <si>
    <t>a) Bez świadczeniobiorców MON, MSWiA i MS.</t>
  </si>
  <si>
    <t>a) Not included beneficiaries from the MND, the MIA and the MJ.</t>
  </si>
  <si>
    <t xml:space="preserve">39 lat i mniej  </t>
  </si>
  <si>
    <t>40-44</t>
  </si>
  <si>
    <t>45-49</t>
  </si>
  <si>
    <t>70-74</t>
  </si>
  <si>
    <t>a) Liczba obejmuje także świadczeniobiorców mających ustalone świadczenie emerytalne, ale nie pobierających go ze względu na pobieranie uposażenia 12-miesięcznego.</t>
  </si>
  <si>
    <t>a) The number also consists of beneficiaries, who have retirement pension fixed, but who do not collect it due to taking 12 months salary.</t>
  </si>
  <si>
    <t>75 lat i więcej</t>
  </si>
  <si>
    <t xml:space="preserve">POLAND </t>
  </si>
  <si>
    <t xml:space="preserve">W tym emerytury   </t>
  </si>
  <si>
    <t>Of which retirement pensions</t>
  </si>
  <si>
    <t xml:space="preserve">Renty z tytułu niezdolności do pracy   </t>
  </si>
  <si>
    <t>Disability pensions</t>
  </si>
  <si>
    <t xml:space="preserve">Renty rodzinne  </t>
  </si>
  <si>
    <t>Survivors pensions</t>
  </si>
  <si>
    <t>do 500,00</t>
  </si>
  <si>
    <t>–</t>
  </si>
  <si>
    <t>i więcej</t>
  </si>
  <si>
    <t>a) Bez byłych żołnierzy zawodowych oraz funkcjonariuszy: Policji, Agencji Bezpieczeństwa Wewnętrznego i Agencji Wywiadu (do 28 VI 2002 – Urzędu Ochrony Państwa), Straży Granicznej, Państwowej Straży Pożarnej i Służby Więziennej. b) W 2000 r. - stan z czerwca, w 2005 r. - stan z kwietnia, w pozostałych latach - stan z marca.</t>
  </si>
  <si>
    <t xml:space="preserve">a) Excluding former professional soldiers as well as functionaries of the Police, Internal Security Agency and Foreign Intelligence Agency (till 28 VI 2002 – Office of State Protection), Border Guard, State Fire Department and Penitentiary Staff. b) In 2000 - as of June, in 2005 - as of April, besides – as of March. </t>
  </si>
  <si>
    <t xml:space="preserve">a) Excluding persons with simultaneous right to agricultural benefits. b) Including an amount of periodic pensions financed from the Social Insurance Fund (FUS), excluding the bridge benefits. </t>
  </si>
  <si>
    <t xml:space="preserve">POLSKA  </t>
  </si>
  <si>
    <t xml:space="preserve">W tym emerytura   </t>
  </si>
  <si>
    <t>Of which retirement pension</t>
  </si>
  <si>
    <t>Retirement and other pensions in total</t>
  </si>
  <si>
    <t xml:space="preserve">Emerytura i renta ogółem  </t>
  </si>
  <si>
    <t>Energy-supply allowance for combatants</t>
  </si>
  <si>
    <t>Supplements for combatants</t>
  </si>
  <si>
    <t>Cash benefits in the amount equal to the supplement for combatants</t>
  </si>
  <si>
    <t>Cash benefits for soldiers-miners</t>
  </si>
  <si>
    <t>Cash benefits for deported persons</t>
  </si>
  <si>
    <t>Compensation supplements</t>
  </si>
  <si>
    <t xml:space="preserve">Świadczenia pieniężne w wysokości dodatku kombatanckiego ……..…….… </t>
  </si>
  <si>
    <t xml:space="preserve">Ryczałty energetyczne  </t>
  </si>
  <si>
    <t xml:space="preserve">Dodatki kombatanckie    </t>
  </si>
  <si>
    <t xml:space="preserve">Compensation supplements </t>
  </si>
  <si>
    <t>a) Łącznie z wypłatami realizowanymi na mocy umów międzynarodowych.</t>
  </si>
  <si>
    <t>a) Including payments realized on the basis of international agreements</t>
  </si>
  <si>
    <t xml:space="preserve">Dodatki kompensacyjne    </t>
  </si>
  <si>
    <t xml:space="preserve">Cash benefits for deported persons </t>
  </si>
  <si>
    <t>Cash benefits for soldiers of substitute military service</t>
  </si>
  <si>
    <t>Cash benefits for blind civil victims of warfare</t>
  </si>
  <si>
    <t xml:space="preserve">of which annuity retirement pensions </t>
  </si>
  <si>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MIA as well as the MJ with retirement pensions financed from budgets of these entities. </t>
  </si>
  <si>
    <t>Rok
Year</t>
  </si>
  <si>
    <t xml:space="preserve">Uwaga. Począwszy od 2006 r. zmodyfikowano minimum socjalne i minimum egzystencji. </t>
  </si>
  <si>
    <t>Note. From 2006 modified social minimum and modified subsistence minimum.</t>
  </si>
  <si>
    <t>% gospodarstw deklarujących brak możliwości realizacji danej potrzeby</t>
  </si>
  <si>
    <t>% of households declaring no possibility to satisfy</t>
  </si>
  <si>
    <t>One week annual holiday</t>
  </si>
  <si>
    <t>Meal with meat or fish every second day</t>
  </si>
  <si>
    <t>Replacing worn out furniture</t>
  </si>
  <si>
    <t>Average usable floor space occupied by household in sq.m.</t>
  </si>
  <si>
    <t>Average number of rooms occupied by household</t>
  </si>
  <si>
    <t>Average number of  persons per 1 room</t>
  </si>
  <si>
    <t xml:space="preserve">It has a leaky roof, humid wells and floors, foundation, rotting windows and floors </t>
  </si>
  <si>
    <t>It is exposed to excessive noise produced by neighbours or other outside source</t>
  </si>
  <si>
    <t>It is located in a place,which surroundigs are poluted by (for instance: dust, smoke, unpleasant smells, polluted water)</t>
  </si>
  <si>
    <t>It is located in an area, which is dangerous regarding crime, violence, vandalism</t>
  </si>
  <si>
    <t xml:space="preserve">It is located in an area, where infrastructure is bad </t>
  </si>
  <si>
    <t>It has a tarrace, a garden</t>
  </si>
  <si>
    <t>It is too small</t>
  </si>
  <si>
    <t>It is too big</t>
  </si>
  <si>
    <t>It is warm enough during wintertime</t>
  </si>
  <si>
    <t>It is cold enough during summertime</t>
  </si>
  <si>
    <t>Znak (*) - zjawisko istniało, w wielkości większej lub równej 20 przypadków z próby, ale mniejszej niż 50.</t>
  </si>
  <si>
    <t>Symbol (*)- magnitude not zero,but more or equal 20 cases in a sample and less than 50.</t>
  </si>
  <si>
    <t>TABL.53. SUBIEKTYWNA OCENA STANU ZDROWIA EMERYTÓW I RENCISTÓW</t>
  </si>
  <si>
    <t xml:space="preserve">% </t>
  </si>
  <si>
    <t>Very good</t>
  </si>
  <si>
    <t>Good</t>
  </si>
  <si>
    <t>Nor good, nor bad</t>
  </si>
  <si>
    <t>Bad</t>
  </si>
  <si>
    <t>Very bad</t>
  </si>
  <si>
    <t>Źródło: badanie EU-SILC</t>
  </si>
  <si>
    <t>Source: data of the EU-SILC survey</t>
  </si>
  <si>
    <t>Rather good</t>
  </si>
  <si>
    <t>Average</t>
  </si>
  <si>
    <t>Rather bad</t>
  </si>
  <si>
    <t>Źródło: badanie budżetów gospodarstw domowych</t>
  </si>
  <si>
    <t>Source: data of the households budgets survey</t>
  </si>
  <si>
    <t>Water supply</t>
  </si>
  <si>
    <t>Flushing toilet</t>
  </si>
  <si>
    <t>Bathroom</t>
  </si>
  <si>
    <t>Hot running water</t>
  </si>
  <si>
    <t>Gas</t>
  </si>
  <si>
    <t>Central heating</t>
  </si>
  <si>
    <t>Stoves</t>
  </si>
  <si>
    <t xml:space="preserve">     of which from a network</t>
  </si>
  <si>
    <t>Television set</t>
  </si>
  <si>
    <t>Satellite or cable television equipment</t>
  </si>
  <si>
    <t>Home theater system</t>
  </si>
  <si>
    <t>Video camera</t>
  </si>
  <si>
    <t>Digital camera</t>
  </si>
  <si>
    <t>Personal computer</t>
  </si>
  <si>
    <t>DVD recorder</t>
  </si>
  <si>
    <t>Personal computer with access to the Internet</t>
  </si>
  <si>
    <t>Personal computer without access to the Internet</t>
  </si>
  <si>
    <t>Printer</t>
  </si>
  <si>
    <t>Mobile phone</t>
  </si>
  <si>
    <t>Vacuum cleaner</t>
  </si>
  <si>
    <t>Microwave oven</t>
  </si>
  <si>
    <t>Dishwasher</t>
  </si>
  <si>
    <t>Bicycle (excluding children’s)</t>
  </si>
  <si>
    <t>Passenger car</t>
  </si>
  <si>
    <t>Automatic washing maschine</t>
  </si>
  <si>
    <t>Refrigerator, fridge-freezer or freezer</t>
  </si>
  <si>
    <t>Kitchen robot</t>
  </si>
  <si>
    <t>a) Compiled on the basis of data at the end of particular quarters.</t>
  </si>
  <si>
    <t xml:space="preserve">a) Opracowano wg stanu w końcu poszczególnych kwartałów. </t>
  </si>
  <si>
    <t>kg</t>
  </si>
  <si>
    <t>Pasta and pasta products</t>
  </si>
  <si>
    <t>l</t>
  </si>
  <si>
    <t>szt</t>
  </si>
  <si>
    <t>Coffee, tea and cocoa</t>
  </si>
  <si>
    <t>Mineral and spring waters</t>
  </si>
  <si>
    <t>Friut and vegetable juices</t>
  </si>
  <si>
    <t>Wody mineralne i źródlane …..…………..….</t>
  </si>
  <si>
    <t>a) Bez spożycia w placówkach gastronomicznych. b) Bez pieczywa chrupkiego, tostowego i pieczywa cukierniczego. c) Bez mąki ziemniaczanej. d) Łącznie z boczkiem surowym. e) Bez przetworów podrobowych. f) Bez marynat, przetworów ze zwierząt morskich i słodkowodnych, wyrobów garmażeryjnych i panierowanych. g) Bez zagęszczonego i w proszku. h) Bez słodkich serków (np. waniliowy, danio). i) Bez boczku surowego.</t>
  </si>
  <si>
    <t>Consumer goods and services</t>
  </si>
  <si>
    <t>restaurants and hotels</t>
  </si>
  <si>
    <t>miscellaneous goods and services</t>
  </si>
  <si>
    <t>EXPENSES IN TOTAL – real</t>
  </si>
  <si>
    <t xml:space="preserve">   food and non-alcoholic beverages</t>
  </si>
  <si>
    <t xml:space="preserve">     out-patient services</t>
  </si>
  <si>
    <t xml:space="preserve">   restaurants and hotels</t>
  </si>
  <si>
    <t xml:space="preserve">   miscellaneous goods and services</t>
  </si>
  <si>
    <t xml:space="preserve">     of which personal care</t>
  </si>
  <si>
    <t xml:space="preserve">   of which gifts donated to other housholds</t>
  </si>
  <si>
    <t>a) Including expenditures on life insurance. b) Energy (electricity, heat energy, gas, liquid and solid fuels). c) Including expenditures on Internet services. d) Excluding expenditures on Internet services.</t>
  </si>
  <si>
    <t xml:space="preserve">   w tym: of which: </t>
  </si>
  <si>
    <t xml:space="preserve">housing, water, electricity, gas and other fuels </t>
  </si>
  <si>
    <t>furnishing, household equipment and 
routine maintenance of the house</t>
  </si>
  <si>
    <t>AVAILABLE INCOME</t>
  </si>
  <si>
    <t xml:space="preserve">   w tym dochód do dyspozycji ………………</t>
  </si>
  <si>
    <t xml:space="preserve">   of which disposable income </t>
  </si>
  <si>
    <t>Income from hired work</t>
  </si>
  <si>
    <t>Income from a private farm in agriculture</t>
  </si>
  <si>
    <t>Income from self-employment</t>
  </si>
  <si>
    <t>Income from social security benefits and other social benefits</t>
  </si>
  <si>
    <t xml:space="preserve">Pozostały dochód  </t>
  </si>
  <si>
    <t>Other incomes</t>
  </si>
  <si>
    <t xml:space="preserve">   Unemployment benefits</t>
  </si>
  <si>
    <t xml:space="preserve">   of  which donations from private persons</t>
  </si>
  <si>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</si>
  <si>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 xml:space="preserve">                  MONTHLY AVERAGE NUMBER OF RETIREES AND PENSIONERS BY INSTITUTIONS</t>
  </si>
  <si>
    <t>TABL. 1. PRZECIĘTNA MIESIĘCZNA LICZBA EMERYTÓW I RENCISTÓW WEDŁUG INSTYTUCJI WYPŁACAJĄCYCH</t>
  </si>
  <si>
    <t xml:space="preserve">TABL. 2. PRZECIĘTNA MIESIĘCZNA LICZBA EMERYTÓW I RENCISTÓW Z ZAKŁADU UBEZPIECZEŃ </t>
  </si>
  <si>
    <t xml:space="preserve">                MONTHLY AVERAGE NUMBER OF RETIREES AND PENSIONERS FROM THE SOCIAL INSURANCE</t>
  </si>
  <si>
    <t xml:space="preserve">   housing, water, electricity, gas and other fuels </t>
  </si>
  <si>
    <t>Keeping home adequately warm</t>
  </si>
  <si>
    <t>POLAND</t>
  </si>
  <si>
    <t>Emeryci i renciści ogółem</t>
  </si>
  <si>
    <t>Retirees and pensioners in total</t>
  </si>
  <si>
    <t>of which retirees</t>
  </si>
  <si>
    <t>Renty z tytułu niezdolności do pracy</t>
  </si>
  <si>
    <t>Renty rodzinne</t>
  </si>
  <si>
    <t>Emeryci i rencisci ogółem</t>
  </si>
  <si>
    <t>W tym emeryci</t>
  </si>
  <si>
    <t>Of which retirees</t>
  </si>
  <si>
    <t> 3,2</t>
  </si>
  <si>
    <t> 20,3</t>
  </si>
  <si>
    <t> 28,9</t>
  </si>
  <si>
    <t> 176,3</t>
  </si>
  <si>
    <t> 363,0</t>
  </si>
  <si>
    <t> 545,6</t>
  </si>
  <si>
    <t> 694,2</t>
  </si>
  <si>
    <t> 680,0</t>
  </si>
  <si>
    <t> 578,0</t>
  </si>
  <si>
    <t> 457,4</t>
  </si>
  <si>
    <t> 344,2</t>
  </si>
  <si>
    <t> 248,4</t>
  </si>
  <si>
    <t> 177,1</t>
  </si>
  <si>
    <t>x</t>
  </si>
  <si>
    <t>Pozarolniczy system ubezpieczeń społecznych</t>
  </si>
  <si>
    <t>MON</t>
  </si>
  <si>
    <t xml:space="preserve">MSWiA </t>
  </si>
  <si>
    <t xml:space="preserve">MIA  </t>
  </si>
  <si>
    <r>
      <t xml:space="preserve">MS </t>
    </r>
  </si>
  <si>
    <t xml:space="preserve">MJ </t>
  </si>
  <si>
    <t>ASIF</t>
  </si>
  <si>
    <t xml:space="preserve">TABL. 3. PRZECIĘTNA MIESIĘCZNA LICZBA RENCISTÓW Z ZAKŁADU UBEZPIECZEŃ SPOŁECZNYCH </t>
  </si>
  <si>
    <t xml:space="preserve">                  MONTHLY AVERAGE NUMBER OF PENSIONERS FROM THE SOCIAL INSURANCE
 </t>
  </si>
  <si>
    <t xml:space="preserve">TABL.4. PRZECIĘTNA MIESIĘCZNA LICZBA EMERYTÓW I RENCISTÓW Z ZAKŁADU UBEZPIECZEŃ </t>
  </si>
  <si>
    <t xml:space="preserve">                 MONTHLY AVERAGE NUMBER OF RETIREES AND PENSIONERS FROM THE SOCIAL </t>
  </si>
  <si>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</si>
  <si>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</si>
  <si>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</si>
  <si>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</si>
  <si>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r>
      <t>POLSKA</t>
    </r>
  </si>
  <si>
    <r>
      <t xml:space="preserve">POLSKA </t>
    </r>
  </si>
  <si>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</si>
  <si>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</si>
  <si>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t xml:space="preserve">Okresowe emerytury kapitałowe </t>
  </si>
  <si>
    <t xml:space="preserve">górnicy </t>
  </si>
  <si>
    <t xml:space="preserve">osoby prowadzące na własny rachunek działalność gospodarczą </t>
  </si>
  <si>
    <t xml:space="preserve">kombatanci </t>
  </si>
  <si>
    <t xml:space="preserve">w tym z ZUS </t>
  </si>
  <si>
    <t xml:space="preserve">nauczyciele </t>
  </si>
  <si>
    <t xml:space="preserve">osoby prowadzące na własny rachunek działalność gospodarczą  </t>
  </si>
  <si>
    <t xml:space="preserve">inwalidzi wojenni, wojskowi, osoby represjonowane  </t>
  </si>
  <si>
    <t xml:space="preserve">w tym z ZUS  </t>
  </si>
  <si>
    <t xml:space="preserve">inwalidzi wojenni, wojskowi, osoby represjonowane   </t>
  </si>
  <si>
    <t xml:space="preserve">OGÓŁEM </t>
  </si>
  <si>
    <t>TOTAL</t>
  </si>
  <si>
    <t>Spis tablic</t>
  </si>
  <si>
    <t>TABL.I.1</t>
  </si>
  <si>
    <t>TABL.I.2</t>
  </si>
  <si>
    <t>TABL.I.3</t>
  </si>
  <si>
    <t>TABL.I.4</t>
  </si>
  <si>
    <t>TABL.I.5</t>
  </si>
  <si>
    <t>TABL.I.6</t>
  </si>
  <si>
    <t>TABL.I.7</t>
  </si>
  <si>
    <t>TABL.I.8</t>
  </si>
  <si>
    <t>TABL.I.9</t>
  </si>
  <si>
    <t>TABL.I.10</t>
  </si>
  <si>
    <t>TABL.I.11</t>
  </si>
  <si>
    <t>TABL.I.12</t>
  </si>
  <si>
    <t>TABL.I.13</t>
  </si>
  <si>
    <t>TABL.I.14</t>
  </si>
  <si>
    <t>TABL.I.15</t>
  </si>
  <si>
    <t xml:space="preserve">TABL.16. OSOBY POBIERAJĄCE EMERYTURY I RENTY Z TYTUŁU NIEZDOLNOŚCI DO PRACY
                  WYPŁACANE PRZEZ MINISTERSTWO SPRAWIEDLIWOŚCI WEDŁUG PŁCI I WIEKU </t>
  </si>
  <si>
    <t xml:space="preserve">TABL.17. OSOBY POBIERAJĄCE EMERYTURY I RENTY Z TYTUŁU NIEZDOLNOŚCI DO PRACY
                  WYPŁACANE PRZEZ MINISTERSTWO SPRAW WEWNĘTRZNYCH I ADMINISTRACJI
                  WEDŁUG PŁCI I WIEKU </t>
  </si>
  <si>
    <t xml:space="preserve">MS </t>
  </si>
  <si>
    <t xml:space="preserve">MND </t>
  </si>
  <si>
    <t>MIA</t>
  </si>
  <si>
    <t xml:space="preserve">POLSKA </t>
  </si>
  <si>
    <t xml:space="preserve">Pozarolniczy system ubezpieczeń społecznych </t>
  </si>
  <si>
    <t>POLSKA</t>
  </si>
  <si>
    <r>
      <t>Emerytury i renty ogółem</t>
    </r>
  </si>
  <si>
    <t>MND</t>
  </si>
  <si>
    <r>
      <t>Emerytura i renta ogółem</t>
    </r>
  </si>
  <si>
    <t xml:space="preserve">TABL. 36.  ŚWIADCZENIA POZAUBEZPIECZENIOWE Z MINISTERSTWA OBRONY NARODOWEJ,
                     Z MINISTERSTWA SPRAWIEDLIWOŚCI, Z MINISTERSTWA SPRAW WEWNĘTRZNYCH
                     I ADMINISTRACJI </t>
  </si>
  <si>
    <t xml:space="preserve">                     NON-INSURANCE BENEFITS FROM THE MINISTRY OF NATIONAL DEFENCE, FROM
                    THE MINISTRY OF JUSTICE, FROM THE MINISTRY OF INTERIOR AND ADMINISTRATION </t>
  </si>
  <si>
    <t xml:space="preserve">Dodatki kombatanckie </t>
  </si>
  <si>
    <t xml:space="preserve">Dodatki kompensacyjne  </t>
  </si>
  <si>
    <t xml:space="preserve">Dodatki kompensacyjne </t>
  </si>
  <si>
    <t>TABL. 38. ŚWIADCZENIA Z Z KASY ROLNICZEGO UBEZPIECZENIA SPOŁECZNEGO Z ROZDZIAŁU
                    75313 WYDATKÓW BUDŻETU PAŃSTWA</t>
  </si>
  <si>
    <t xml:space="preserve">                    BENEFITS FROM THE AGRICULTURAL SOCIAL INSURANCE FUND FROM 75313 ALLOCATION 
                    IN STATE BUDGET</t>
  </si>
  <si>
    <t xml:space="preserve">Świadczenia pieniężne w wysokości    
</t>
  </si>
  <si>
    <t xml:space="preserve">dodatku kombatanckiego </t>
  </si>
  <si>
    <t>Świadczenia pieniężne dla żołnierzy-</t>
  </si>
  <si>
    <t xml:space="preserve">górników </t>
  </si>
  <si>
    <t xml:space="preserve">Świadczenia pieniężne dla osób </t>
  </si>
  <si>
    <t>deportowanych  ……..…….…………..</t>
  </si>
  <si>
    <t xml:space="preserve">Retirement and other pension </t>
  </si>
  <si>
    <t xml:space="preserve">in total </t>
  </si>
  <si>
    <t xml:space="preserve">KRUS </t>
  </si>
  <si>
    <t xml:space="preserve">Świadczenia pieniężne w wysokości  </t>
  </si>
  <si>
    <t>dodatku kombatanckiego</t>
  </si>
  <si>
    <t>deportowanych</t>
  </si>
  <si>
    <t xml:space="preserve">Świadczenia pieniężne dla osób deportowanych do pracy </t>
  </si>
  <si>
    <t xml:space="preserve">przymusowej </t>
  </si>
  <si>
    <t xml:space="preserve">Świadczenia pieniężne dla żołnierzy </t>
  </si>
  <si>
    <t>zastępczej służby wojskowej</t>
  </si>
  <si>
    <t xml:space="preserve">Świadczenie pieniężne dla cywilnych niewidomych ofiar </t>
  </si>
  <si>
    <t>działań wojennych</t>
  </si>
  <si>
    <t xml:space="preserve">w tym: okresowe emerytury kapitałowe </t>
  </si>
  <si>
    <t xml:space="preserve">         górników </t>
  </si>
  <si>
    <t xml:space="preserve">         nauczycieli  </t>
  </si>
  <si>
    <t xml:space="preserve">         osób prowadzących na własny rachunek działalność gospodarczą </t>
  </si>
  <si>
    <t xml:space="preserve">         kombatantów</t>
  </si>
  <si>
    <t xml:space="preserve">   w tym wypłacone przez ZUS </t>
  </si>
  <si>
    <t xml:space="preserve">         inwalidów wojennych, wojskowych, osób represjonowanych </t>
  </si>
  <si>
    <t xml:space="preserve">         inwalidów wojennych, wojskowych, osób represjonowanych</t>
  </si>
  <si>
    <t xml:space="preserve">Przeciętna miesięczna emerytura brutto z pozarolniczego systemu ubezpieczeń </t>
  </si>
  <si>
    <t xml:space="preserve">społecznych w zł </t>
  </si>
  <si>
    <t>Relacja w %</t>
  </si>
  <si>
    <t xml:space="preserve">TABL.42. PRZECIĘTNY MIESIĘCZNY DOCHÓD ROZPORZĄDZALNY NA 1 OSOBĘ
                  W GOSPODARSTWACH DOMOWYCH EMERYTÓW I RENCISTÓW </t>
  </si>
  <si>
    <t xml:space="preserve">                  MONTHLY AVERAGE INCOME PER CAPITA IN RETIREES’ AND PENSIONERS’ HOUSEHOLDS </t>
  </si>
  <si>
    <t xml:space="preserve">   w tym dochód do dyspozycji</t>
  </si>
  <si>
    <t xml:space="preserve">Dochód z pracy najemnej </t>
  </si>
  <si>
    <t xml:space="preserve">Dochód z gospodarstwa indywidualnego </t>
  </si>
  <si>
    <t>w rolnictwie</t>
  </si>
  <si>
    <t xml:space="preserve">Dochód z pracy na własny rachunek </t>
  </si>
  <si>
    <t xml:space="preserve">Dochód ze świadczeń z ubezpieczeń społecznych i pozostałych świadczeń </t>
  </si>
  <si>
    <t>społecznych</t>
  </si>
  <si>
    <t xml:space="preserve">   Zasiłków dla bezrobotnych </t>
  </si>
  <si>
    <t xml:space="preserve">   w tym dary od osób prywatnych </t>
  </si>
  <si>
    <t xml:space="preserve">                   MONTHLY AVERAGE EXPENDITURES PER CAPITA IN RETIREES’ AND PENSIONERS’ 
                   HOUSEHOLDS </t>
  </si>
  <si>
    <t>Towary i usługi konsumpcyjne</t>
  </si>
  <si>
    <t xml:space="preserve">   żywność i napoje bezalkoholowe </t>
  </si>
  <si>
    <t xml:space="preserve">   napoje alkoholowe i wyroby tytoniowe </t>
  </si>
  <si>
    <t xml:space="preserve">użytkowanie mieszkania i nośniki energii </t>
  </si>
  <si>
    <t xml:space="preserve">wyposażenie mieszkania i prowadzenie
</t>
  </si>
  <si>
    <t>gospodarstwa domowego</t>
  </si>
  <si>
    <t xml:space="preserve">      wyroby medyczno-farmaceutyczne, 
      </t>
  </si>
  <si>
    <t xml:space="preserve">      urządzenia i sprzęt medyczny </t>
  </si>
  <si>
    <t xml:space="preserve">TABL.43. PRZECIĘTNE MIESIĘCZNE WYDATKI NA 1 OSOBĘ W GOSPODARSTWACH
                   DOMOWYCH EMERYTÓW I RENCISTÓW </t>
  </si>
  <si>
    <t>a) Łącznie z wydatkami na ubezpieczenia na życie. b) Energia (elektryczna, cieplna, gaz, opał). c) Łącznie z wydatkami na usługi internetowe.
d) Bez wydatków na usługi internetowe.</t>
  </si>
  <si>
    <t xml:space="preserve">      medical products, appliances and equipment</t>
  </si>
  <si>
    <t xml:space="preserve">      usługi ambulatoryjne i inne usługi
      </t>
  </si>
  <si>
    <t xml:space="preserve">      związane ze zdrowiem </t>
  </si>
  <si>
    <t>restauracje i hotele</t>
  </si>
  <si>
    <t xml:space="preserve">      w tym higiena osobista </t>
  </si>
  <si>
    <t xml:space="preserve">   w tym dary przekazane innym gospodarstwom
 </t>
  </si>
  <si>
    <t xml:space="preserve">     domowym </t>
  </si>
  <si>
    <t xml:space="preserve">Wydatki pozostałe </t>
  </si>
  <si>
    <t>Other expenditures</t>
  </si>
  <si>
    <t xml:space="preserve">edukacja </t>
  </si>
  <si>
    <t xml:space="preserve">education  </t>
  </si>
  <si>
    <t xml:space="preserve">zdrowie </t>
  </si>
  <si>
    <t>health</t>
  </si>
  <si>
    <t xml:space="preserve">   użytkowanie mieszkania i nośniki energii </t>
  </si>
  <si>
    <t xml:space="preserve">   wyposażenie mieszkania i prowadzenie
   </t>
  </si>
  <si>
    <t xml:space="preserve">    gospodarstwa domowego </t>
  </si>
  <si>
    <t xml:space="preserve">   furnishing, household equipment and routine maintenance of the house</t>
  </si>
  <si>
    <t xml:space="preserve">      urządzenia i sprzęt medyczny  </t>
  </si>
  <si>
    <t xml:space="preserve">   edukacja </t>
  </si>
  <si>
    <t xml:space="preserve">   w tym dary przekazane innym
   </t>
  </si>
  <si>
    <t xml:space="preserve">   gospodarstwom domowym </t>
  </si>
  <si>
    <t xml:space="preserve">WYDATKI OGÓŁEM – realnie  </t>
  </si>
  <si>
    <t xml:space="preserve">Towary i usługi konsumpcyjne </t>
  </si>
  <si>
    <t xml:space="preserve">   restauracje i hotele </t>
  </si>
  <si>
    <t xml:space="preserve">transport </t>
  </si>
  <si>
    <t xml:space="preserve">Soki owocowe i warzywne </t>
  </si>
  <si>
    <t>Kawa, herbata i kakao</t>
  </si>
  <si>
    <t>Fruits</t>
  </si>
  <si>
    <r>
      <t xml:space="preserve">Warzywa </t>
    </r>
  </si>
  <si>
    <t>Vegetables</t>
  </si>
  <si>
    <t xml:space="preserve">     of which poultry </t>
  </si>
  <si>
    <t>Cream</t>
  </si>
  <si>
    <t xml:space="preserve">Jaja </t>
  </si>
  <si>
    <t xml:space="preserve">Eggs </t>
  </si>
  <si>
    <t xml:space="preserve">   tłuszcze zwierzęce</t>
  </si>
  <si>
    <t xml:space="preserve">   animal fats </t>
  </si>
  <si>
    <t xml:space="preserve">      of which butter</t>
  </si>
  <si>
    <r>
      <t xml:space="preserve">      tłuszcze roślinne </t>
    </r>
  </si>
  <si>
    <t xml:space="preserve">      vegetable fats </t>
  </si>
  <si>
    <r>
      <t xml:space="preserve">Cukier </t>
    </r>
  </si>
  <si>
    <t xml:space="preserve">Sugar </t>
  </si>
  <si>
    <t xml:space="preserve">   of which potatoes</t>
  </si>
  <si>
    <t>Makaron i produkty makaronowe</t>
  </si>
  <si>
    <t xml:space="preserve">Odbiornik telewizyjny </t>
  </si>
  <si>
    <t>Urządzenie do odbioru TV satelitarnej</t>
  </si>
  <si>
    <t xml:space="preserve"> lub kablowej </t>
  </si>
  <si>
    <t xml:space="preserve">Radio, radio tape recorder, stereo music system, radio with compact disc player </t>
  </si>
  <si>
    <t>Odtwarzacz DVD</t>
  </si>
  <si>
    <t>Zestaw kina domowego</t>
  </si>
  <si>
    <t>Kamera wideo</t>
  </si>
  <si>
    <t>Cyfrowy aparat fotograficzny</t>
  </si>
  <si>
    <t xml:space="preserve">Komputer osobisty </t>
  </si>
  <si>
    <t>Komputer z dostępem do Internetu</t>
  </si>
  <si>
    <t xml:space="preserve">Komputer bez dostępu do Internetu </t>
  </si>
  <si>
    <t xml:space="preserve">Telefon komórkowy </t>
  </si>
  <si>
    <t xml:space="preserve">Pralka automatyczna </t>
  </si>
  <si>
    <t>Odkurzacz elektryczny</t>
  </si>
  <si>
    <t>Kuchenka mikrofalowa</t>
  </si>
  <si>
    <t>Robot kuchenny</t>
  </si>
  <si>
    <t xml:space="preserve">Zmywarka do naczyń </t>
  </si>
  <si>
    <t xml:space="preserve">Rower (bez dziecięcego) </t>
  </si>
  <si>
    <t xml:space="preserve">Samochód osobowy </t>
  </si>
  <si>
    <t xml:space="preserve">Chłodziarka, chłodziarko-zamrażarka </t>
  </si>
  <si>
    <t>lub zamrażarka</t>
  </si>
  <si>
    <t xml:space="preserve">                   DIFFICULTIES IN SATISFYING RETIREES’ AND PENSIONERS’ NEEDS IN THEIR HOUSEHOLDS </t>
  </si>
  <si>
    <t xml:space="preserve">Tygodniowy wypoczynek rodziny raz w roku </t>
  </si>
  <si>
    <t xml:space="preserve">Jedzenie mięsa lub ryb co drugi dzień </t>
  </si>
  <si>
    <t>Ogrzewanie mieszkania odpowiednio do potrzeb</t>
  </si>
  <si>
    <t xml:space="preserve">Wymiana zużytych mebli </t>
  </si>
  <si>
    <t xml:space="preserve">TABL.49. MIESZKANIA UŻYTKOWANE PRZEZ GOSPODARSTWA DOMOWE EMERYTÓW
                   I RENCISTÓW </t>
  </si>
  <si>
    <t xml:space="preserve">                   DWELLINGS OCCUPIED BY RETIREES’ AND PENSIONERS’ HOUSEHOLDS </t>
  </si>
  <si>
    <t xml:space="preserve">Przeciętna powierzchnia użytkowa zajmowana przez gospodarstwo domowe </t>
  </si>
  <si>
    <t>w m2</t>
  </si>
  <si>
    <t xml:space="preserve">Przeciętna liczba pokoi użytkowanych przez </t>
  </si>
  <si>
    <t>gospodarstwo domowe</t>
  </si>
  <si>
    <t>na 1 osobę w m2</t>
  </si>
  <si>
    <t>Average usable floor space occupied 
by 1 person in household in sq.m.</t>
  </si>
  <si>
    <t xml:space="preserve">Przeciętna liczba osób na 1 pokój </t>
  </si>
  <si>
    <t xml:space="preserve">TABL.50. WYPOSAŻENIE MIESZKAŃ EMERYTÓW I RENCISTÓW W URZĄDZENIA I INSTALACJE
                   TECHNICZNO-SANITARNE </t>
  </si>
  <si>
    <t xml:space="preserve">                  EQUIPMENT OF DWELLINGS OF RETIREES’ AND PENSIONERS’ HOUSEHOLDS IN TECHNICAL
                  AND SANITARY INSTALLATIONS </t>
  </si>
  <si>
    <t>Wodociąg</t>
  </si>
  <si>
    <t xml:space="preserve">      w tym z sieci</t>
  </si>
  <si>
    <t>Ustęp spłukiwany</t>
  </si>
  <si>
    <t xml:space="preserve">Łazienkę </t>
  </si>
  <si>
    <t>Ciepłą wodę bieżącą</t>
  </si>
  <si>
    <t xml:space="preserve">      w tym z sieci </t>
  </si>
  <si>
    <t xml:space="preserve">Gaz </t>
  </si>
  <si>
    <t>Centralne ogrzewanie</t>
  </si>
  <si>
    <t xml:space="preserve">Piece </t>
  </si>
  <si>
    <t xml:space="preserve">TABL.51. STAN MIESZKAŃ ZAJMOWANYCH PRZEZ GOSPODARSTWA DOMOWE EMERYTÓW
                   I RENCISTÓW </t>
  </si>
  <si>
    <t>Ma przeciekający dach, zawilgocone ściany, podłogi, fundamenty, butwiejące okna</t>
  </si>
  <si>
    <t xml:space="preserve"> i podłogi</t>
  </si>
  <si>
    <t xml:space="preserve">Jest narażone na nadmierny hałas pochodzący od sąsiadów lub </t>
  </si>
  <si>
    <t>z zewnątrz</t>
  </si>
  <si>
    <t xml:space="preserve">Jest położone w szczególnie uciążliwym otoczeniu ze względu na zanieczyszczenie środowiska (np. pył, dym, nieprzyjemne </t>
  </si>
  <si>
    <t>zapachy, zanieczyszczona woda)</t>
  </si>
  <si>
    <t xml:space="preserve">Jest położone w rejonie zagrożonym </t>
  </si>
  <si>
    <t xml:space="preserve">przestępczością, przemocą, wandalizmem </t>
  </si>
  <si>
    <t xml:space="preserve">Jest położone w rejonie o złej infrastrukturze </t>
  </si>
  <si>
    <t xml:space="preserve">Posiada balkon (taras), ogródek </t>
  </si>
  <si>
    <t>Jest zbyt małe</t>
  </si>
  <si>
    <t xml:space="preserve">Jest zbyt duże </t>
  </si>
  <si>
    <t xml:space="preserve">Jest wystarczająco ciepłe w zimie </t>
  </si>
  <si>
    <t xml:space="preserve">Jest wystarczająco chłodne w lecie </t>
  </si>
  <si>
    <t xml:space="preserve">TABL.52. SUBIEKTYWNA OCENA SYTUACJI MATERIALNEJ GOSPODARSTW DOMOWYCH
                   EMERYTÓW I RENCISTÓW </t>
  </si>
  <si>
    <t xml:space="preserve">                  SUBJECTIVE EVALUATION OF MATERIAL SITUATION OF RETIREES’ AND PENSIONERS’ 
                  HOUSEHOLDS </t>
  </si>
  <si>
    <t>Bardzo dobra</t>
  </si>
  <si>
    <t xml:space="preserve">Raczej dobra  </t>
  </si>
  <si>
    <t xml:space="preserve">Przeciętna </t>
  </si>
  <si>
    <t xml:space="preserve">Raczej zła </t>
  </si>
  <si>
    <t>Zła</t>
  </si>
  <si>
    <t xml:space="preserve">                   SUBJECTIVE OPINION ABOUT HEALTH OF RETIREES’ AND PENSIONERS’ </t>
  </si>
  <si>
    <t>Bardzo dobre</t>
  </si>
  <si>
    <t xml:space="preserve">Dobre  </t>
  </si>
  <si>
    <t xml:space="preserve">Takie sobie, ani dobre, ani złe </t>
  </si>
  <si>
    <t xml:space="preserve">Złe </t>
  </si>
  <si>
    <t xml:space="preserve">Bardzo złe </t>
  </si>
  <si>
    <t xml:space="preserve">   emerytur </t>
  </si>
  <si>
    <t xml:space="preserve">   retirement pensions</t>
  </si>
  <si>
    <t xml:space="preserve">   rent z tytułu niezdolności do pracy</t>
  </si>
  <si>
    <t xml:space="preserve">   disability pensions</t>
  </si>
  <si>
    <t xml:space="preserve">   świadczeń wychowawczych</t>
  </si>
  <si>
    <t>TABL.I.16</t>
  </si>
  <si>
    <t>TABL.I.17</t>
  </si>
  <si>
    <t>TABL.II.18</t>
  </si>
  <si>
    <t>TABL.II.19</t>
  </si>
  <si>
    <t>TABL.II.20</t>
  </si>
  <si>
    <t>TABL.II.21</t>
  </si>
  <si>
    <t>TABL.II.22</t>
  </si>
  <si>
    <t>TABL.II.23</t>
  </si>
  <si>
    <t>TABL.II.24</t>
  </si>
  <si>
    <t>TABL.II.25</t>
  </si>
  <si>
    <t>TABL.II.26</t>
  </si>
  <si>
    <t>TABL.II.27</t>
  </si>
  <si>
    <t>TABL.II.28</t>
  </si>
  <si>
    <t>TABL.II.29</t>
  </si>
  <si>
    <t>TABL.II.30</t>
  </si>
  <si>
    <t>TABL.II.31</t>
  </si>
  <si>
    <t>TABL.II.32</t>
  </si>
  <si>
    <t>TABL.II.33</t>
  </si>
  <si>
    <t>TABL.II.34</t>
  </si>
  <si>
    <t>TABL.II.35</t>
  </si>
  <si>
    <t>TABL.II.36</t>
  </si>
  <si>
    <t>TABL.II.37</t>
  </si>
  <si>
    <t>TABL.II.38</t>
  </si>
  <si>
    <t>TABL.II.39</t>
  </si>
  <si>
    <t>TABL.II.40</t>
  </si>
  <si>
    <t>TABL.II.41</t>
  </si>
  <si>
    <t>TABL.III.42G</t>
  </si>
  <si>
    <t>TABL.III.43G</t>
  </si>
  <si>
    <t>TABL.III.44G</t>
  </si>
  <si>
    <t>TABL.III.45G</t>
  </si>
  <si>
    <t>TABL.III.46G</t>
  </si>
  <si>
    <t>TABL.III.47G</t>
  </si>
  <si>
    <t>TABL.III.48S</t>
  </si>
  <si>
    <t>TABL.III.50G</t>
  </si>
  <si>
    <t>TABL.III.51S</t>
  </si>
  <si>
    <t>TABL.III.52G</t>
  </si>
  <si>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</si>
  <si>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</si>
  <si>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</si>
  <si>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</si>
  <si>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</si>
  <si>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</si>
  <si>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t>TABL. 12. EMERYCI I RENCIŚCI JAKO ODSETEK POPULACJI MIESZKAŃCÓW WEDŁUG WOJEWÓDZTW W ROKU 2000 I 2016</t>
  </si>
  <si>
    <t xml:space="preserve">                    RETIREES AND PENSIONERS BY VOIVODSHIPS IN 2000 AND 2016 (IN PERSONS AND AS PERCENT OF TOTAL POPULATION)</t>
  </si>
  <si>
    <t xml:space="preserve">TABL.16. OSOBY POBIERAJĄCE EMERYTURY I RENTY Z TYTUŁU NIEZDOLNOŚCI DO PRACY WYPŁACANE PRZEZ MINISTERSTWO SPRAWIEDLIWOŚCI WEDŁUG PŁCI I WIEKU </t>
  </si>
  <si>
    <t xml:space="preserve">                  PERSONS RECEIVING RETIREMENT AND DISABILITY PENSIONS PAID FROM THE MINISTRY OF JUSTICE BY SEX AND AGE </t>
  </si>
  <si>
    <t xml:space="preserve">TABL.17. OSOBY POBIERAJĄCE EMERYTURY I RENTY Z TYTUŁU NIEZDOLNOŚCI DO PRACY WYPŁACANE PRZEZ MINISTERSTWO SPRAW WEWNĘTRZNYCH I ADMINISTRACJI  WEDŁUG PŁCI I WIEKU </t>
  </si>
  <si>
    <t xml:space="preserve">                  PERSONS RECEIVING RETERIMENT AND DISABILITY PENSIONS PAID FROM THE MINISTRY OF INTERIOR AND ADMINISTRATION BY SEX AND AGE </t>
  </si>
  <si>
    <t xml:space="preserve">TABL. 36.  ŚWIADCZENIA POZAUBEZPIECZENIOWE Z MINISTERSTWA OBRONY NARODOWEJ, Z MINISTERSTWA SPRAWIEDLIWOŚCI, Z MINISTERSTWA SPRAW WEWNĘTRZNYCH I ADMINISTRACJI </t>
  </si>
  <si>
    <t xml:space="preserve">                     NON-INSURANCE BENEFITS FROM THE MINISTRY OF NATIONAL DEFENCE, FROM THE MINISTRY OF JUSTICE, FROM THE MINISTRY OF INTERIOR AND ADMINISTRATION </t>
  </si>
  <si>
    <t>TABL. 38. ŚWIADCZENIA Z Z KASY ROLNICZEGO UBEZPIECZENIA SPOŁECZNEGO Z ROZDZIAŁU 75313 WYDATKÓW BUDŻETU PAŃSTWA</t>
  </si>
  <si>
    <t xml:space="preserve">                    BENEFITS FROM THE AGRICULTURAL SOCIAL INSURANCE FUND FROM 75313 ALLOCATION IN STATE BUDGET</t>
  </si>
  <si>
    <t xml:space="preserve">TABL.42. PRZECIĘTNY MIESIĘCZNY DOCHÓD ROZPORZĄDZALNY NA 1 OSOBĘ W GOSPODARSTWACH DOMOWYCH EMERYTÓW I RENCISTÓW </t>
  </si>
  <si>
    <t xml:space="preserve">TABL.43. PRZECIĘTNE MIESIĘCZNE WYDATKI NA 1 OSOBĘ W GOSPODARSTWACH DOMOWYCH EMERYTÓW I RENCISTÓW </t>
  </si>
  <si>
    <t xml:space="preserve">                   MONTHLY AVERAGE EXPENDITURES PER CAPITA IN RETIREES’ AND PENSIONERS’ HOUSEHOLDS </t>
  </si>
  <si>
    <t xml:space="preserve">TABL.48. TRUDNOŚCI GOSPODARSTW DOMOWYCH EMERYTÓW I RENCISTÓW W ZASPOKAJANIU POTRZEB </t>
  </si>
  <si>
    <t xml:space="preserve">TABL.49. MIESZKANIA UŻYTKOWANE PRZEZ GOSPODARSTWA DOMOWE EMERYTÓW I RENCISTÓW </t>
  </si>
  <si>
    <t xml:space="preserve">TABL.50. WYPOSAŻENIE MIESZKAŃ EMERYTÓW I RENCISTÓW W URZĄDZENIA I INSTALACJE TECHNICZNO-SANITARNE </t>
  </si>
  <si>
    <t xml:space="preserve">                  EQUIPMENT OF DWELLINGS OF RETIREES’ AND PENSIONERS’ HOUSEHOLDS IN TECHNICAL AND SANITARY INSTALLATIONS </t>
  </si>
  <si>
    <t xml:space="preserve">TABL.51. STAN MIESZKAŃ ZAJMOWANYCH PRZEZ GOSPODARSTWA DOMOWE EMERYTÓW I RENCISTÓW </t>
  </si>
  <si>
    <t xml:space="preserve">                  CONDITIONS OF DWELLINGS OF RETIREES’ AND PENSIONERS’ HOUSHOLDS</t>
  </si>
  <si>
    <t xml:space="preserve">TABL.52. SUBIEKTYWNA OCENA SYTUACJI MATERIALNEJ GOSPODARSTW DOMOWYCH EMERYTÓW I RENCISTÓW </t>
  </si>
  <si>
    <t xml:space="preserve">                  SUBJECTIVE EVALUATION OF MATERIAL SITUATION OF RETIREES’ AND PENSIONERS’ HOUSEHOLDS </t>
  </si>
  <si>
    <t xml:space="preserve">CZĘŚĆ III.  GOSPODARSTWA DOMOWE EMERYTÓW I RENCISTÓW  </t>
  </si>
  <si>
    <t>PART III. RETIREES' AND PENSIONERS' HOUSEHOLDS</t>
  </si>
  <si>
    <t>MJ</t>
  </si>
  <si>
    <t xml:space="preserve">CZĘŚĆ II.  EMERYTURY, RENTY I ŚWIADCZENIA POZAUBEZPIECZENIOWE   </t>
  </si>
  <si>
    <t>PART II. RETIREMENT AND OTHER PENSIONS, NON-INSURANCE BENEFITS</t>
  </si>
  <si>
    <t>Retirement and other pensions</t>
  </si>
  <si>
    <t>Emerytury i renty ogółem</t>
  </si>
  <si>
    <t>2016 = 100</t>
  </si>
  <si>
    <t>2016=100</t>
  </si>
  <si>
    <t>Mazowieckie</t>
  </si>
  <si>
    <t>918,4 b)</t>
  </si>
  <si>
    <t>TABL. 12. EMERYCI I RENCIŚCI JAKO ODSETEK POPULACJI MIESZKAŃCÓW WEDŁUG
                    WOJEWÓDZTW W ROKU 2000 I 2017</t>
  </si>
  <si>
    <t xml:space="preserve">                    RETIREES AND PENSIONERS BY VOIVODSHIPS IN 2000 AND 2017 (IN PERSONS
                    AND AS PERCENT OF TOTAL POPULATION)</t>
  </si>
  <si>
    <t xml:space="preserve">                  YEARLY SUBSISTENCE MINIMUM AND SOCIAL MINIMUM FOR RETIREES’ HOUSEHOLDS
                  IN 2000-2017</t>
  </si>
  <si>
    <t>TABL.41. ŚREDNIOROCZNE MINIMUM EGZYSTENCJI I MINIMUM SOCJALNE DLA GOSPODARSTW
                   EMERYCKICH W LATACH 2000-2017</t>
  </si>
  <si>
    <t xml:space="preserve">Sprzęt do odbioru, nagrywania 
 </t>
  </si>
  <si>
    <t>i odtwarzania dźwięku</t>
  </si>
  <si>
    <t>Motocykl, skuter, motorower</t>
  </si>
  <si>
    <t>Drukarka (w tym wielofunkcyjna)</t>
  </si>
  <si>
    <t>Motorcycle, scooter</t>
  </si>
  <si>
    <t>a) bez osób posiadających prawo do świadczenia rolniczego b) Łącznie z okresowymi emeryturami kapitalowymi finansowanymi z FUS, bez emerytur pomostowych</t>
  </si>
  <si>
    <t>5000 i więcej</t>
  </si>
  <si>
    <t>6,0*</t>
  </si>
  <si>
    <t>4,5*</t>
  </si>
  <si>
    <t>a) Renty z ustawy o zaopatrzeniu inwalidów wojennych i wojskowych oraz ich rodzin obok emerytury otrzymywały 244 osoby, a kwota wypłat w 2017 r. wyniosła 4 558 595 zł.</t>
  </si>
  <si>
    <t xml:space="preserve">a) Pensions from the law on provision of warfare disables and soldiers as well as their families paid, besides the retirement pensions, to 244 persons; amount of payments in 2016 was 4 558 595 zl. </t>
  </si>
  <si>
    <r>
      <t xml:space="preserve">CZĘŚĆ I. ŚWIADCZENIOBIORCY   </t>
    </r>
    <r>
      <rPr>
        <b/>
        <i/>
        <sz val="9"/>
        <color theme="1"/>
        <rFont val="Arial"/>
        <family val="2"/>
      </rPr>
      <t>PART I. BENEFICIARIES</t>
    </r>
  </si>
  <si>
    <r>
      <t xml:space="preserve">                  MONTHLY AVERAGE NUMBER OF PENSIONERS FROM THE SOCIAL INSURANCE INSTITUTION BY VOIVODSHIPS</t>
    </r>
    <r>
      <rPr>
        <i/>
        <vertAlign val="superscript"/>
        <sz val="9"/>
        <color theme="1"/>
        <rFont val="Arial"/>
        <family val="2"/>
      </rPr>
      <t>a)</t>
    </r>
    <r>
      <rPr>
        <i/>
        <sz val="9"/>
        <color theme="1"/>
        <rFont val="Arial"/>
        <family val="2"/>
      </rPr>
      <t xml:space="preserve">
 </t>
    </r>
  </si>
  <si>
    <r>
      <t xml:space="preserve">CZĘŚĆ II. EMERYTURY, RENTY I ŚWIADCZENIA POZAUBEZPIECZENIOWE   </t>
    </r>
    <r>
      <rPr>
        <b/>
        <i/>
        <sz val="9"/>
        <color theme="1"/>
        <rFont val="Arial"/>
        <family val="2"/>
      </rPr>
      <t>PART II. RETIREMENT AND OTHER PENSIONS, NON-INSURANCE BENEFITS</t>
    </r>
  </si>
  <si>
    <r>
      <t>TABL. 18.  EMERYTURY I RENTY BRUTTO</t>
    </r>
    <r>
      <rPr>
        <b/>
        <vertAlign val="superscript"/>
        <sz val="9"/>
        <color theme="1"/>
        <rFont val="Arial"/>
        <family val="2"/>
      </rPr>
      <t>a)</t>
    </r>
    <r>
      <rPr>
        <b/>
        <sz val="9"/>
        <color theme="1"/>
        <rFont val="Arial"/>
        <family val="2"/>
      </rPr>
      <t xml:space="preserve"> WEDŁUG INSTYTUCJI WYPŁACAJĄCYCH</t>
    </r>
  </si>
  <si>
    <r>
      <t xml:space="preserve">                    GROSS</t>
    </r>
    <r>
      <rPr>
        <i/>
        <vertAlign val="superscript"/>
        <sz val="9"/>
        <color theme="1"/>
        <rFont val="Arial"/>
        <family val="2"/>
      </rPr>
      <t>a)</t>
    </r>
    <r>
      <rPr>
        <i/>
        <sz val="9"/>
        <color theme="1"/>
        <rFont val="Arial"/>
        <family val="2"/>
      </rPr>
      <t xml:space="preserve"> RETIREMENT AND OTHER PENSIONS BY INSTITUTIONS</t>
    </r>
  </si>
  <si>
    <r>
      <t>TABL. 20. RENTY BRUTTO</t>
    </r>
    <r>
      <rPr>
        <b/>
        <vertAlign val="superscript"/>
        <sz val="9"/>
        <color theme="1"/>
        <rFont val="Arial"/>
        <family val="2"/>
      </rPr>
      <t>a)</t>
    </r>
    <r>
      <rPr>
        <b/>
        <sz val="9"/>
        <color theme="1"/>
        <rFont val="Arial"/>
        <family val="2"/>
      </rPr>
      <t xml:space="preserve"> Z ZAKŁADU UBEZPIECZEŃ SPOŁECZNYCH WEDŁUG WOJEWÓDZTW  </t>
    </r>
  </si>
  <si>
    <r>
      <t xml:space="preserve">                    GROSS</t>
    </r>
    <r>
      <rPr>
        <i/>
        <vertAlign val="superscript"/>
        <sz val="9"/>
        <color theme="1"/>
        <rFont val="Arial"/>
        <family val="2"/>
      </rPr>
      <t xml:space="preserve">a) </t>
    </r>
    <r>
      <rPr>
        <i/>
        <sz val="9"/>
        <color theme="1"/>
        <rFont val="Arial"/>
        <family val="2"/>
      </rPr>
      <t xml:space="preserve">PENSIONS FROM THE SOCIAL INSURANCE INSTITUTION BY VOIVODSHIPS </t>
    </r>
  </si>
  <si>
    <r>
      <t>TABL. 26.  PRZECIĘTNA MIESIĘCZNA EMERYTURA I RENTA BRUTTO</t>
    </r>
    <r>
      <rPr>
        <b/>
        <vertAlign val="superscript"/>
        <sz val="9"/>
        <color theme="1"/>
        <rFont val="Arial"/>
        <family val="2"/>
      </rPr>
      <t xml:space="preserve">a) </t>
    </r>
    <r>
      <rPr>
        <b/>
        <sz val="9"/>
        <color theme="1"/>
        <rFont val="Arial"/>
        <family val="2"/>
      </rPr>
      <t>WEDŁUG INSTYTUCJI WYPŁACAJĄCYCH</t>
    </r>
  </si>
  <si>
    <r>
      <t xml:space="preserve">                    MONTHLY AVERAGE GROSS</t>
    </r>
    <r>
      <rPr>
        <i/>
        <vertAlign val="superscript"/>
        <sz val="9"/>
        <color theme="1"/>
        <rFont val="Arial"/>
        <family val="2"/>
      </rPr>
      <t xml:space="preserve">a) </t>
    </r>
    <r>
      <rPr>
        <i/>
        <sz val="9"/>
        <color theme="1"/>
        <rFont val="Arial"/>
        <family val="2"/>
      </rPr>
      <t>RETIREMENT AND OTHER PENSION BY INSTITUTIONS</t>
    </r>
  </si>
  <si>
    <r>
      <t xml:space="preserve">                   GROSS</t>
    </r>
    <r>
      <rPr>
        <i/>
        <vertAlign val="superscript"/>
        <sz val="9"/>
        <color theme="1"/>
        <rFont val="Arial"/>
        <family val="2"/>
      </rPr>
      <t xml:space="preserve">a) </t>
    </r>
    <r>
      <rPr>
        <i/>
        <sz val="9"/>
        <color theme="1"/>
        <rFont val="Arial"/>
        <family val="2"/>
      </rPr>
      <t xml:space="preserve">RETIREMENT AND OTHER PENSIONS FROM NON-AGRICULTURAL SOCIAL SECURITY SYSTEM BY OCCUPATION </t>
    </r>
  </si>
  <si>
    <r>
      <t xml:space="preserve">CZĘŚĆ III. GOSPODARSTWA DOMOWE EMERYTÓW I RENCISTÓW   </t>
    </r>
    <r>
      <rPr>
        <b/>
        <i/>
        <sz val="9"/>
        <color theme="1"/>
        <rFont val="Arial"/>
        <family val="2"/>
      </rPr>
      <t xml:space="preserve">PART III. RETIREES' AND PENSIONERS' HOUSEHOLDS </t>
    </r>
  </si>
  <si>
    <r>
      <t xml:space="preserve">w tym: </t>
    </r>
    <r>
      <rPr>
        <i/>
        <sz val="9"/>
        <color theme="1"/>
        <rFont val="Arial"/>
        <family val="2"/>
      </rPr>
      <t>of which:</t>
    </r>
  </si>
  <si>
    <r>
      <t>ZUS</t>
    </r>
    <r>
      <rPr>
        <i/>
        <vertAlign val="superscript"/>
        <sz val="9"/>
        <color theme="1"/>
        <rFont val="Arial"/>
        <family val="2"/>
      </rPr>
      <t>a)</t>
    </r>
  </si>
  <si>
    <r>
      <t>SII</t>
    </r>
    <r>
      <rPr>
        <i/>
        <vertAlign val="superscript"/>
        <sz val="9"/>
        <color theme="1"/>
        <rFont val="Arial"/>
        <family val="2"/>
      </rPr>
      <t>a)</t>
    </r>
  </si>
  <si>
    <r>
      <t xml:space="preserve">Wyszczególnienie
</t>
    </r>
    <r>
      <rPr>
        <i/>
        <sz val="8"/>
        <color theme="1"/>
        <rFont val="Arial"/>
        <family val="2"/>
      </rPr>
      <t>Specification</t>
    </r>
  </si>
  <si>
    <r>
      <t xml:space="preserve">CZĘŚĆ I ŚWIADCZENIOBIORCY   </t>
    </r>
    <r>
      <rPr>
        <b/>
        <i/>
        <sz val="9"/>
        <color theme="1"/>
        <rFont val="Arial"/>
        <family val="2"/>
      </rPr>
      <t>PART I. BENEFICIARIES</t>
    </r>
  </si>
  <si>
    <r>
      <t xml:space="preserve">Wyszczególnienie
</t>
    </r>
    <r>
      <rPr>
        <i/>
        <sz val="9"/>
        <color theme="1"/>
        <rFont val="Arial"/>
        <family val="2"/>
      </rPr>
      <t>Specification</t>
    </r>
  </si>
  <si>
    <r>
      <t xml:space="preserve">w % 
</t>
    </r>
    <r>
      <rPr>
        <i/>
        <sz val="9"/>
        <color theme="1"/>
        <rFont val="Arial"/>
        <family val="2"/>
      </rPr>
      <t>in %</t>
    </r>
  </si>
  <si>
    <r>
      <t xml:space="preserve">POLSKA </t>
    </r>
    <r>
      <rPr>
        <b/>
        <i/>
        <sz val="9"/>
        <rFont val="Arial"/>
        <family val="2"/>
      </rPr>
      <t xml:space="preserve"> </t>
    </r>
  </si>
  <si>
    <r>
      <t>KRUS</t>
    </r>
    <r>
      <rPr>
        <b/>
        <sz val="9"/>
        <rFont val="Arial"/>
        <family val="2"/>
      </rPr>
      <t xml:space="preserve"> </t>
    </r>
  </si>
  <si>
    <r>
      <t xml:space="preserve">w tys. osób
</t>
    </r>
    <r>
      <rPr>
        <i/>
        <sz val="9"/>
        <color theme="1"/>
        <rFont val="Arial"/>
        <family val="2"/>
      </rPr>
      <t>in thousand persons</t>
    </r>
  </si>
  <si>
    <r>
      <t xml:space="preserve">                 SPOŁECZNYCH WEDŁUG WOJEWÓDZTW</t>
    </r>
    <r>
      <rPr>
        <b/>
        <vertAlign val="superscript"/>
        <sz val="9"/>
        <color theme="1"/>
        <rFont val="Arial"/>
        <family val="2"/>
      </rPr>
      <t xml:space="preserve">a) </t>
    </r>
  </si>
  <si>
    <r>
      <t xml:space="preserve">                INSTITUTION BY VOIVODSHIPS</t>
    </r>
    <r>
      <rPr>
        <i/>
        <vertAlign val="superscript"/>
        <sz val="9"/>
        <color rgb="FF000000"/>
        <rFont val="Arial"/>
        <family val="2"/>
      </rPr>
      <t>a)</t>
    </r>
    <r>
      <rPr>
        <i/>
        <sz val="9"/>
        <color rgb="FF000000"/>
        <rFont val="Arial"/>
        <family val="2"/>
      </rPr>
      <t xml:space="preserve"> </t>
    </r>
  </si>
  <si>
    <r>
      <t xml:space="preserve">Wyszczególnienie
</t>
    </r>
    <r>
      <rPr>
        <i/>
        <sz val="9"/>
        <rFont val="Arial"/>
        <family val="2"/>
      </rPr>
      <t>Specification</t>
    </r>
  </si>
  <si>
    <r>
      <t xml:space="preserve">Emeryci i renciści ogółem
</t>
    </r>
    <r>
      <rPr>
        <i/>
        <sz val="9"/>
        <rFont val="Arial"/>
        <family val="2"/>
      </rPr>
      <t xml:space="preserve">Retirees and pensioners in total </t>
    </r>
  </si>
  <si>
    <r>
      <t xml:space="preserve">W tym emeryci
</t>
    </r>
    <r>
      <rPr>
        <i/>
        <sz val="9"/>
        <rFont val="Arial"/>
        <family val="2"/>
      </rPr>
      <t>Of which retirees</t>
    </r>
  </si>
  <si>
    <r>
      <t xml:space="preserve">w osobach
</t>
    </r>
    <r>
      <rPr>
        <i/>
        <sz val="9"/>
        <rFont val="Arial"/>
        <family val="2"/>
      </rPr>
      <t>in persons</t>
    </r>
  </si>
  <si>
    <r>
      <t xml:space="preserve">POLSKA </t>
    </r>
    <r>
      <rPr>
        <b/>
        <vertAlign val="superscript"/>
        <sz val="9"/>
        <rFont val="Arial"/>
        <family val="2"/>
      </rPr>
      <t>b)c)</t>
    </r>
  </si>
  <si>
    <r>
      <t xml:space="preserve">POLAND </t>
    </r>
    <r>
      <rPr>
        <i/>
        <vertAlign val="superscript"/>
        <sz val="9"/>
        <rFont val="Arial"/>
        <family val="2"/>
      </rPr>
      <t>b)c)</t>
    </r>
  </si>
  <si>
    <r>
      <t>Województwa razem</t>
    </r>
    <r>
      <rPr>
        <b/>
        <vertAlign val="superscript"/>
        <sz val="9"/>
        <color rgb="FF000000"/>
        <rFont val="Arial"/>
        <family val="2"/>
      </rPr>
      <t>b)</t>
    </r>
  </si>
  <si>
    <r>
      <t>Voivodships  total</t>
    </r>
    <r>
      <rPr>
        <i/>
        <vertAlign val="superscript"/>
        <sz val="9"/>
        <color rgb="FF000000"/>
        <rFont val="Arial"/>
        <family val="2"/>
      </rPr>
      <t xml:space="preserve">b) </t>
    </r>
  </si>
  <si>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</si>
  <si>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r>
      <t xml:space="preserve">                  WEDŁUG WOJEWÓDZTW</t>
    </r>
    <r>
      <rPr>
        <b/>
        <vertAlign val="superscript"/>
        <sz val="9"/>
        <color theme="1"/>
        <rFont val="Arial"/>
        <family val="2"/>
      </rPr>
      <t xml:space="preserve">a) </t>
    </r>
  </si>
  <si>
    <r>
      <t xml:space="preserve">                  INSTITUTION BY VOIVODSHIPS</t>
    </r>
    <r>
      <rPr>
        <i/>
        <vertAlign val="superscript"/>
        <sz val="9"/>
        <color theme="1"/>
        <rFont val="Arial"/>
        <family val="2"/>
      </rPr>
      <t xml:space="preserve">a) </t>
    </r>
  </si>
  <si>
    <r>
      <t xml:space="preserve">Renty z tytułu niezdolności do pracy
</t>
    </r>
    <r>
      <rPr>
        <i/>
        <sz val="9"/>
        <rFont val="Arial"/>
        <family val="2"/>
      </rPr>
      <t>Disability pensions</t>
    </r>
  </si>
  <si>
    <r>
      <t xml:space="preserve">Renty rodzinne
</t>
    </r>
    <r>
      <rPr>
        <i/>
        <sz val="9"/>
        <rFont val="Arial"/>
        <family val="2"/>
      </rPr>
      <t>Survivors pensions</t>
    </r>
  </si>
  <si>
    <r>
      <t>Voivodships  total</t>
    </r>
    <r>
      <rPr>
        <i/>
        <vertAlign val="superscript"/>
        <sz val="9"/>
        <color rgb="FF000000"/>
        <rFont val="Arial"/>
        <family val="2"/>
      </rPr>
      <t xml:space="preserve"> b) </t>
    </r>
  </si>
  <si>
    <r>
      <t xml:space="preserve">Emeryci i renciści ogółem </t>
    </r>
    <r>
      <rPr>
        <i/>
        <sz val="9"/>
        <rFont val="Arial"/>
        <family val="2"/>
      </rPr>
      <t xml:space="preserve">Retirees and pensioners in total </t>
    </r>
  </si>
  <si>
    <r>
      <t xml:space="preserve">w tys.osób
</t>
    </r>
    <r>
      <rPr>
        <i/>
        <sz val="9"/>
        <rFont val="Arial"/>
        <family val="2"/>
      </rPr>
      <t>in thous. persons</t>
    </r>
  </si>
  <si>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t>
  </si>
  <si>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t>
  </si>
  <si>
    <r>
      <t xml:space="preserve">Emeryci 
i renciści ogółem 
</t>
    </r>
    <r>
      <rPr>
        <i/>
        <sz val="9"/>
        <rFont val="Arial"/>
        <family val="2"/>
      </rPr>
      <t>Retirees and pensioners in total</t>
    </r>
  </si>
  <si>
    <r>
      <t xml:space="preserve">W tym emeryci 
</t>
    </r>
    <r>
      <rPr>
        <i/>
        <sz val="9"/>
        <rFont val="Arial"/>
        <family val="2"/>
      </rPr>
      <t>Of which retirees</t>
    </r>
  </si>
  <si>
    <r>
      <t xml:space="preserve">Renty z tytułu niezdolności 
do pracy
</t>
    </r>
    <r>
      <rPr>
        <i/>
        <sz val="9"/>
        <rFont val="Arial"/>
        <family val="2"/>
      </rPr>
      <t>Disability pensions</t>
    </r>
  </si>
  <si>
    <t xml:space="preserve">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MSWiA nie uwzględnionymi w podziale na województwa. </t>
  </si>
  <si>
    <r>
      <t>a) Łącznie ze 123 osobami otrzymującymi świadczenia GBRZ. b) Łącznie z osobami otrzymującymi świadczenia z: MON</t>
    </r>
    <r>
      <rPr>
        <sz val="8"/>
        <rFont val="Arial"/>
        <family val="2"/>
      </rPr>
      <t xml:space="preserve"> (180 o</t>
    </r>
    <r>
      <rPr>
        <sz val="8"/>
        <color theme="1"/>
        <rFont val="Arial"/>
        <family val="2"/>
      </rPr>
      <t>sób), MS (106 osób), MSWiA (878</t>
    </r>
    <r>
      <rPr>
        <sz val="8"/>
        <color rgb="FFFF0000"/>
        <rFont val="Arial"/>
        <family val="2"/>
      </rPr>
      <t xml:space="preserve"> </t>
    </r>
    <r>
      <rPr>
        <sz val="8"/>
        <color theme="1"/>
        <rFont val="Arial"/>
        <family val="2"/>
      </rPr>
      <t xml:space="preserve">osób).
</t>
    </r>
  </si>
  <si>
    <r>
      <t>a) Including 123</t>
    </r>
    <r>
      <rPr>
        <i/>
        <sz val="8"/>
        <color rgb="FFFF0000"/>
        <rFont val="Arial"/>
        <family val="2"/>
      </rPr>
      <t xml:space="preserve"> </t>
    </r>
    <r>
      <rPr>
        <i/>
        <sz val="8"/>
        <color theme="1"/>
        <rFont val="Arial"/>
        <family val="2"/>
      </rPr>
      <t>persons receiving GBRZ benefit.b) Including beneficiaries from the MND (180 persons), the MJ (106</t>
    </r>
    <r>
      <rPr>
        <i/>
        <sz val="8"/>
        <color rgb="FFFF0000"/>
        <rFont val="Arial"/>
        <family val="2"/>
      </rPr>
      <t xml:space="preserve"> </t>
    </r>
    <r>
      <rPr>
        <i/>
        <sz val="8"/>
        <color theme="1"/>
        <rFont val="Arial"/>
        <family val="2"/>
      </rPr>
      <t>persons), the MIA (878 persons).</t>
    </r>
  </si>
  <si>
    <r>
      <t xml:space="preserve">a) Łącznie ze 123 osobami otrzymującymi świadczenia GBRZ. b) Łącznie z osobami otrzymującymi świadczenia z: MON </t>
    </r>
    <r>
      <rPr>
        <sz val="8"/>
        <rFont val="Arial"/>
        <family val="2"/>
      </rPr>
      <t>(180</t>
    </r>
    <r>
      <rPr>
        <sz val="8"/>
        <color rgb="FFFF0000"/>
        <rFont val="Arial"/>
        <family val="2"/>
      </rPr>
      <t xml:space="preserve"> </t>
    </r>
    <r>
      <rPr>
        <sz val="8"/>
        <color theme="1"/>
        <rFont val="Arial"/>
        <family val="2"/>
      </rPr>
      <t>osób), MS (106 osób), MSWiA (878</t>
    </r>
    <r>
      <rPr>
        <sz val="8"/>
        <color rgb="FFFF0000"/>
        <rFont val="Arial"/>
        <family val="2"/>
      </rPr>
      <t xml:space="preserve"> </t>
    </r>
    <r>
      <rPr>
        <sz val="8"/>
        <color theme="1"/>
        <rFont val="Arial"/>
        <family val="2"/>
      </rPr>
      <t xml:space="preserve">osób).
</t>
    </r>
  </si>
  <si>
    <r>
      <t>a) Including 123</t>
    </r>
    <r>
      <rPr>
        <i/>
        <sz val="8"/>
        <color rgb="FFFF0000"/>
        <rFont val="Arial"/>
        <family val="2"/>
      </rPr>
      <t xml:space="preserve"> </t>
    </r>
    <r>
      <rPr>
        <i/>
        <sz val="8"/>
        <color theme="1"/>
        <rFont val="Arial"/>
        <family val="2"/>
      </rPr>
      <t>persons receiving GBRZ benefit.b) Including beneficiaries from the MND (180</t>
    </r>
    <r>
      <rPr>
        <i/>
        <sz val="8"/>
        <color rgb="FFFF0000"/>
        <rFont val="Arial"/>
        <family val="2"/>
      </rPr>
      <t xml:space="preserve"> </t>
    </r>
    <r>
      <rPr>
        <i/>
        <sz val="8"/>
        <color theme="1"/>
        <rFont val="Arial"/>
        <family val="2"/>
      </rPr>
      <t>persons), the MJ (106</t>
    </r>
    <r>
      <rPr>
        <i/>
        <sz val="8"/>
        <color rgb="FFFF0000"/>
        <rFont val="Arial"/>
        <family val="2"/>
      </rPr>
      <t xml:space="preserve"> </t>
    </r>
    <r>
      <rPr>
        <i/>
        <sz val="8"/>
        <color theme="1"/>
        <rFont val="Arial"/>
        <family val="2"/>
      </rPr>
      <t>persons), the MIA (878 persons).</t>
    </r>
  </si>
  <si>
    <r>
      <t>1 175,3</t>
    </r>
    <r>
      <rPr>
        <b/>
        <vertAlign val="superscript"/>
        <sz val="9"/>
        <rFont val="Arial"/>
        <family val="2"/>
      </rPr>
      <t xml:space="preserve"> b)c)</t>
    </r>
  </si>
  <si>
    <r>
      <t>918,4</t>
    </r>
    <r>
      <rPr>
        <b/>
        <vertAlign val="superscript"/>
        <sz val="9"/>
        <rFont val="Arial"/>
        <family val="2"/>
      </rPr>
      <t xml:space="preserve"> b)</t>
    </r>
  </si>
  <si>
    <r>
      <t>POLAND</t>
    </r>
    <r>
      <rPr>
        <i/>
        <vertAlign val="superscript"/>
        <sz val="9"/>
        <rFont val="Arial"/>
        <family val="2"/>
      </rPr>
      <t xml:space="preserve"> </t>
    </r>
  </si>
  <si>
    <r>
      <t>a) Łącznie ze 123 osobami otrzymującymi świadczenia GBRZ. b) Łącznie z osobami otrzymującymi świadczenia z: MON</t>
    </r>
    <r>
      <rPr>
        <sz val="8"/>
        <rFont val="Arial"/>
        <family val="2"/>
      </rPr>
      <t xml:space="preserve"> (180</t>
    </r>
    <r>
      <rPr>
        <sz val="8"/>
        <color rgb="FFFF0000"/>
        <rFont val="Arial"/>
        <family val="2"/>
      </rPr>
      <t xml:space="preserve"> </t>
    </r>
    <r>
      <rPr>
        <sz val="8"/>
        <color theme="1"/>
        <rFont val="Arial"/>
        <family val="2"/>
      </rPr>
      <t>osób), MS (106 osób), MSWiA (878</t>
    </r>
    <r>
      <rPr>
        <sz val="8"/>
        <color rgb="FFFF0000"/>
        <rFont val="Arial"/>
        <family val="2"/>
      </rPr>
      <t xml:space="preserve"> </t>
    </r>
    <r>
      <rPr>
        <sz val="8"/>
        <color theme="1"/>
        <rFont val="Arial"/>
        <family val="2"/>
      </rPr>
      <t xml:space="preserve">osób).
</t>
    </r>
  </si>
  <si>
    <r>
      <t>a) Including 123 persons receiving GBRZ benefit.b) Including beneficiaries from the MND (180</t>
    </r>
    <r>
      <rPr>
        <i/>
        <sz val="8"/>
        <color rgb="FFFF0000"/>
        <rFont val="Arial"/>
        <family val="2"/>
      </rPr>
      <t xml:space="preserve"> </t>
    </r>
    <r>
      <rPr>
        <i/>
        <sz val="8"/>
        <color theme="1"/>
        <rFont val="Arial"/>
        <family val="2"/>
      </rPr>
      <t>persons), the MJ (106</t>
    </r>
    <r>
      <rPr>
        <i/>
        <sz val="8"/>
        <color rgb="FFFF0000"/>
        <rFont val="Arial"/>
        <family val="2"/>
      </rPr>
      <t xml:space="preserve"> </t>
    </r>
    <r>
      <rPr>
        <i/>
        <sz val="8"/>
        <color theme="1"/>
        <rFont val="Arial"/>
        <family val="2"/>
      </rPr>
      <t>persons), the MIA (878</t>
    </r>
    <r>
      <rPr>
        <i/>
        <sz val="8"/>
        <rFont val="Arial"/>
        <family val="2"/>
      </rPr>
      <t xml:space="preserve"> </t>
    </r>
    <r>
      <rPr>
        <i/>
        <sz val="8"/>
        <color theme="1"/>
        <rFont val="Arial"/>
        <family val="2"/>
      </rPr>
      <t>persons).</t>
    </r>
  </si>
  <si>
    <r>
      <t>1 175,3</t>
    </r>
    <r>
      <rPr>
        <b/>
        <vertAlign val="superscript"/>
        <sz val="9"/>
        <rFont val="Arial"/>
        <family val="2"/>
      </rPr>
      <t>a)b)</t>
    </r>
  </si>
  <si>
    <r>
      <t>POLSKA</t>
    </r>
    <r>
      <rPr>
        <b/>
        <vertAlign val="superscript"/>
        <sz val="9"/>
        <rFont val="Arial"/>
        <family val="2"/>
      </rPr>
      <t xml:space="preserve"> </t>
    </r>
  </si>
  <si>
    <r>
      <t xml:space="preserve">W tys. osób   </t>
    </r>
    <r>
      <rPr>
        <i/>
        <sz val="9"/>
        <color theme="1"/>
        <rFont val="Arial"/>
        <family val="2"/>
      </rPr>
      <t>In thousand person</t>
    </r>
  </si>
  <si>
    <r>
      <t xml:space="preserve">Resorty ogółem
</t>
    </r>
    <r>
      <rPr>
        <i/>
        <sz val="9"/>
        <rFont val="Arial"/>
        <family val="2"/>
      </rPr>
      <t>Ministries total</t>
    </r>
  </si>
  <si>
    <r>
      <t xml:space="preserve">MON
</t>
    </r>
    <r>
      <rPr>
        <i/>
        <sz val="9"/>
        <rFont val="Arial"/>
        <family val="2"/>
      </rPr>
      <t>MND</t>
    </r>
  </si>
  <si>
    <r>
      <t xml:space="preserve">MS
</t>
    </r>
    <r>
      <rPr>
        <i/>
        <sz val="9"/>
        <rFont val="Arial"/>
        <family val="2"/>
      </rPr>
      <t>MJ</t>
    </r>
  </si>
  <si>
    <r>
      <t>MSWiA</t>
    </r>
    <r>
      <rPr>
        <vertAlign val="superscript"/>
        <sz val="9"/>
        <rFont val="Arial"/>
        <family val="2"/>
      </rPr>
      <t>a)</t>
    </r>
    <r>
      <rPr>
        <sz val="9"/>
        <rFont val="Arial"/>
        <family val="2"/>
      </rPr>
      <t xml:space="preserve">
</t>
    </r>
    <r>
      <rPr>
        <i/>
        <sz val="9"/>
        <rFont val="Arial"/>
        <family val="2"/>
      </rPr>
      <t>MIA</t>
    </r>
    <r>
      <rPr>
        <i/>
        <vertAlign val="superscript"/>
        <sz val="9"/>
        <rFont val="Arial"/>
        <family val="2"/>
      </rPr>
      <t>a)</t>
    </r>
  </si>
  <si>
    <r>
      <t xml:space="preserve">W osobach   </t>
    </r>
    <r>
      <rPr>
        <i/>
        <sz val="9"/>
        <color theme="1"/>
        <rFont val="Arial"/>
        <family val="2"/>
      </rPr>
      <t>In persons</t>
    </r>
  </si>
  <si>
    <r>
      <t>Emeryci razem</t>
    </r>
    <r>
      <rPr>
        <b/>
        <vertAlign val="superscript"/>
        <sz val="9"/>
        <color rgb="FF000000"/>
        <rFont val="Arial"/>
        <family val="2"/>
      </rPr>
      <t>b</t>
    </r>
    <r>
      <rPr>
        <b/>
        <i/>
        <vertAlign val="superscript"/>
        <sz val="9"/>
        <color rgb="FF000000"/>
        <rFont val="Arial"/>
        <family val="2"/>
      </rPr>
      <t>)</t>
    </r>
    <r>
      <rPr>
        <sz val="9"/>
        <color rgb="FF000000"/>
        <rFont val="Arial"/>
        <family val="2"/>
      </rPr>
      <t xml:space="preserve">  ……..……..……..……..…….....………………….……..………</t>
    </r>
  </si>
  <si>
    <r>
      <t>Total retirees</t>
    </r>
    <r>
      <rPr>
        <i/>
        <vertAlign val="superscript"/>
        <sz val="9"/>
        <color rgb="FF000000"/>
        <rFont val="Arial"/>
        <family val="2"/>
      </rPr>
      <t xml:space="preserve">b) </t>
    </r>
  </si>
  <si>
    <r>
      <t>of which paid of SII</t>
    </r>
    <r>
      <rPr>
        <sz val="9"/>
        <color rgb="FF000000"/>
        <rFont val="Arial"/>
        <family val="2"/>
      </rPr>
      <t xml:space="preserve"> </t>
    </r>
  </si>
  <si>
    <r>
      <t>W tym</t>
    </r>
    <r>
      <rPr>
        <b/>
        <sz val="9"/>
        <color rgb="FF000000"/>
        <rFont val="Arial"/>
        <family val="2"/>
      </rPr>
      <t> :</t>
    </r>
  </si>
  <si>
    <r>
      <t>pracownicy kolejowi</t>
    </r>
    <r>
      <rPr>
        <vertAlign val="superscript"/>
        <sz val="9"/>
        <color rgb="FF000000"/>
        <rFont val="Arial"/>
        <family val="2"/>
      </rPr>
      <t>c)</t>
    </r>
    <r>
      <rPr>
        <sz val="9"/>
        <color rgb="FF000000"/>
        <rFont val="Arial"/>
        <family val="2"/>
      </rPr>
      <t xml:space="preserve"> ……..……..…….....……..……..……………..……..… </t>
    </r>
  </si>
  <si>
    <r>
      <t>railway employees</t>
    </r>
    <r>
      <rPr>
        <i/>
        <vertAlign val="superscript"/>
        <sz val="9"/>
        <color rgb="FF000000"/>
        <rFont val="Arial"/>
        <family val="2"/>
      </rPr>
      <t>c)</t>
    </r>
    <r>
      <rPr>
        <i/>
        <sz val="9"/>
        <color rgb="FF000000"/>
        <rFont val="Arial"/>
        <family val="2"/>
      </rPr>
      <t xml:space="preserve"> </t>
    </r>
  </si>
  <si>
    <r>
      <t>Renciści z tytułu niezdolności do pracy razem</t>
    </r>
    <r>
      <rPr>
        <b/>
        <vertAlign val="superscript"/>
        <sz val="9"/>
        <color rgb="FF000000"/>
        <rFont val="Arial"/>
        <family val="2"/>
      </rPr>
      <t>b)d)</t>
    </r>
    <r>
      <rPr>
        <sz val="9"/>
        <color rgb="FF000000"/>
        <rFont val="Arial"/>
        <family val="2"/>
      </rPr>
      <t>……..………..……..……..……</t>
    </r>
  </si>
  <si>
    <r>
      <t>Pensioners receiving disability pensions</t>
    </r>
    <r>
      <rPr>
        <i/>
        <vertAlign val="superscript"/>
        <sz val="9"/>
        <color rgb="FF000000"/>
        <rFont val="Arial"/>
        <family val="2"/>
      </rPr>
      <t>b)d)</t>
    </r>
  </si>
  <si>
    <r>
      <t>pracownicy kolejowi</t>
    </r>
    <r>
      <rPr>
        <vertAlign val="superscript"/>
        <sz val="9"/>
        <color rgb="FF000000"/>
        <rFont val="Arial"/>
        <family val="2"/>
      </rPr>
      <t>c)</t>
    </r>
    <r>
      <rPr>
        <sz val="9"/>
        <color rgb="FF000000"/>
        <rFont val="Arial"/>
        <family val="2"/>
      </rPr>
      <t xml:space="preserve"> ……..……..……..…….…..……..……………..…….... </t>
    </r>
  </si>
  <si>
    <r>
      <t>railway employees</t>
    </r>
    <r>
      <rPr>
        <i/>
        <vertAlign val="superscript"/>
        <sz val="9"/>
        <color rgb="FF000000"/>
        <rFont val="Arial"/>
        <family val="2"/>
      </rPr>
      <t>c)</t>
    </r>
    <r>
      <rPr>
        <sz val="9"/>
        <color rgb="FF000000"/>
        <rFont val="Arial"/>
        <family val="2"/>
      </rPr>
      <t xml:space="preserve"> </t>
    </r>
  </si>
  <si>
    <r>
      <t>teachers</t>
    </r>
    <r>
      <rPr>
        <sz val="9"/>
        <color rgb="FF000000"/>
        <rFont val="Arial"/>
        <family val="2"/>
      </rPr>
      <t xml:space="preserve"> </t>
    </r>
  </si>
  <si>
    <r>
      <t>self-employed persons</t>
    </r>
    <r>
      <rPr>
        <sz val="9"/>
        <color rgb="FF000000"/>
        <rFont val="Arial"/>
        <family val="2"/>
      </rPr>
      <t xml:space="preserve"> </t>
    </r>
  </si>
  <si>
    <r>
      <t>Osoby otrzymujące renty rodzinne razem</t>
    </r>
    <r>
      <rPr>
        <b/>
        <vertAlign val="superscript"/>
        <sz val="9"/>
        <color rgb="FF000000"/>
        <rFont val="Arial"/>
        <family val="2"/>
      </rPr>
      <t>b)d)</t>
    </r>
    <r>
      <rPr>
        <b/>
        <sz val="9"/>
        <color rgb="FF000000"/>
        <rFont val="Arial"/>
        <family val="2"/>
      </rPr>
      <t xml:space="preserve"> ..……..………..…..…..……………</t>
    </r>
  </si>
  <si>
    <r>
      <t>Persons receiving survivors pensions total</t>
    </r>
    <r>
      <rPr>
        <i/>
        <vertAlign val="superscript"/>
        <sz val="9"/>
        <color rgb="FF000000"/>
        <rFont val="Arial"/>
        <family val="2"/>
      </rPr>
      <t>bd)</t>
    </r>
    <r>
      <rPr>
        <sz val="9"/>
        <color rgb="FF000000"/>
        <rFont val="Arial"/>
        <family val="2"/>
      </rPr>
      <t xml:space="preserve"> </t>
    </r>
  </si>
  <si>
    <r>
      <t>pracownicy kolejowi</t>
    </r>
    <r>
      <rPr>
        <vertAlign val="superscript"/>
        <sz val="9"/>
        <color rgb="FF000000"/>
        <rFont val="Arial"/>
        <family val="2"/>
      </rPr>
      <t>c)</t>
    </r>
    <r>
      <rPr>
        <sz val="9"/>
        <color rgb="FF000000"/>
        <rFont val="Arial"/>
        <family val="2"/>
      </rPr>
      <t xml:space="preserve"> ……..……..……..………..……..……………..……..… </t>
    </r>
  </si>
  <si>
    <r>
      <t>mining employees</t>
    </r>
    <r>
      <rPr>
        <sz val="9"/>
        <color rgb="FF000000"/>
        <rFont val="Arial"/>
        <family val="2"/>
      </rPr>
      <t xml:space="preserve"> </t>
    </r>
  </si>
  <si>
    <r>
      <t>war and military invalids as well as combatants</t>
    </r>
    <r>
      <rPr>
        <sz val="9"/>
        <color rgb="FF000000"/>
        <rFont val="Arial"/>
        <family val="2"/>
      </rPr>
      <t xml:space="preserve"> </t>
    </r>
  </si>
  <si>
    <r>
      <t>TABL. 11. PRZECIĘTNA MIESIĘCZNA LICZBA EMERYTÓW I RENCISTÓW Z POZAROLNICZEGO
                   SYSTEMU UBEZPIECZEŃ WEDŁUG ZAWODÓW</t>
    </r>
    <r>
      <rPr>
        <b/>
        <vertAlign val="superscript"/>
        <sz val="9"/>
        <color theme="1"/>
        <rFont val="Arial"/>
        <family val="2"/>
      </rPr>
      <t>a)</t>
    </r>
    <r>
      <rPr>
        <b/>
        <sz val="9"/>
        <color theme="1"/>
        <rFont val="Arial"/>
        <family val="2"/>
      </rPr>
      <t xml:space="preserve"> </t>
    </r>
  </si>
  <si>
    <r>
      <t xml:space="preserve">                   MONTHLY AVERAGE NUMBER OF RETIREES AND PENSIONERS FROM
                   THE NON-AGRICULTURAL SOCIAL SECURITY SYSTEM BY OCCUPATION</t>
    </r>
    <r>
      <rPr>
        <i/>
        <vertAlign val="superscript"/>
        <sz val="9"/>
        <color theme="1"/>
        <rFont val="Arial"/>
        <family val="2"/>
      </rPr>
      <t xml:space="preserve">a) </t>
    </r>
  </si>
  <si>
    <r>
      <t xml:space="preserve">liczba emerytów 
i rencistów </t>
    </r>
    <r>
      <rPr>
        <i/>
        <sz val="9"/>
        <rFont val="Arial"/>
        <family val="2"/>
      </rPr>
      <t>number of retirees and pensioners</t>
    </r>
  </si>
  <si>
    <r>
      <t xml:space="preserve">% populacji mieszkańców
</t>
    </r>
    <r>
      <rPr>
        <i/>
        <sz val="9"/>
        <rFont val="Arial"/>
        <family val="2"/>
      </rPr>
      <t>% of total population</t>
    </r>
  </si>
  <si>
    <r>
      <t>POLSKA</t>
    </r>
    <r>
      <rPr>
        <b/>
        <vertAlign val="superscript"/>
        <sz val="9"/>
        <rFont val="Arial"/>
        <family val="2"/>
      </rPr>
      <t>a)</t>
    </r>
    <r>
      <rPr>
        <sz val="9"/>
        <rFont val="Arial"/>
        <family val="2"/>
      </rPr>
      <t xml:space="preserve">  </t>
    </r>
  </si>
  <si>
    <r>
      <t>POLAND</t>
    </r>
    <r>
      <rPr>
        <i/>
        <vertAlign val="superscript"/>
        <sz val="9"/>
        <rFont val="Arial"/>
        <family val="2"/>
      </rPr>
      <t>a)</t>
    </r>
  </si>
  <si>
    <r>
      <t>a)</t>
    </r>
    <r>
      <rPr>
        <sz val="8"/>
        <color rgb="FF000000"/>
        <rFont val="Arial"/>
        <family val="2"/>
      </rPr>
      <t xml:space="preserve"> </t>
    </r>
    <r>
      <rPr>
        <i/>
        <sz val="8"/>
        <color rgb="FF000000"/>
        <rFont val="Arial"/>
        <family val="2"/>
      </rPr>
      <t>Excluding persons with simultaneous right to agricultural benefits, excluding the bridge benefits.</t>
    </r>
  </si>
  <si>
    <r>
      <t>TABL.13. OSOBY POBIERAJĄCE EMERYTURY I RENTY Z TYTUŁU NIEZDOLNOŚCI DO PRACY
                   Z ZAKŁADU UBEZPIECZEŃ SPOŁECZNYCH</t>
    </r>
    <r>
      <rPr>
        <b/>
        <vertAlign val="superscript"/>
        <sz val="9"/>
        <color theme="1"/>
        <rFont val="Arial"/>
        <family val="2"/>
      </rPr>
      <t xml:space="preserve">a) </t>
    </r>
    <r>
      <rPr>
        <b/>
        <sz val="9"/>
        <color theme="1"/>
        <rFont val="Arial"/>
        <family val="2"/>
      </rPr>
      <t xml:space="preserve">WEDŁUG PŁCI I WIEKU </t>
    </r>
  </si>
  <si>
    <r>
      <t xml:space="preserve">                  PERSONS RECEIVING RETIREMENT AND DISABILITY PENSIONS FROM THE SOCIAL
                  INSURANCE INSTITUTION</t>
    </r>
    <r>
      <rPr>
        <i/>
        <vertAlign val="superscript"/>
        <sz val="9"/>
        <color theme="1"/>
        <rFont val="Arial"/>
        <family val="2"/>
      </rPr>
      <t xml:space="preserve">a) </t>
    </r>
    <r>
      <rPr>
        <i/>
        <sz val="9"/>
        <color theme="1"/>
        <rFont val="Arial"/>
        <family val="2"/>
      </rPr>
      <t xml:space="preserve">BY SEX AND AGE 
                 </t>
    </r>
    <r>
      <rPr>
        <sz val="9"/>
        <color theme="1"/>
        <rFont val="Arial"/>
        <family val="2"/>
      </rPr>
      <t>Stan w dniu 31 XII /</t>
    </r>
    <r>
      <rPr>
        <i/>
        <sz val="9"/>
        <color theme="1"/>
        <rFont val="Arial"/>
        <family val="2"/>
      </rPr>
      <t xml:space="preserve">   As of 31 XII</t>
    </r>
  </si>
  <si>
    <r>
      <t xml:space="preserve">WIEK
</t>
    </r>
    <r>
      <rPr>
        <i/>
        <sz val="9"/>
        <rFont val="Arial"/>
        <family val="2"/>
      </rPr>
      <t>AGE</t>
    </r>
  </si>
  <si>
    <r>
      <t xml:space="preserve">Ogółem 
</t>
    </r>
    <r>
      <rPr>
        <i/>
        <sz val="9"/>
        <rFont val="Arial"/>
        <family val="2"/>
      </rPr>
      <t>Total</t>
    </r>
  </si>
  <si>
    <r>
      <t xml:space="preserve">Mężczyźni
</t>
    </r>
    <r>
      <rPr>
        <i/>
        <sz val="9"/>
        <rFont val="Arial"/>
        <family val="2"/>
      </rPr>
      <t>Men</t>
    </r>
  </si>
  <si>
    <r>
      <t xml:space="preserve">Kobiety
</t>
    </r>
    <r>
      <rPr>
        <i/>
        <sz val="9"/>
        <rFont val="Arial"/>
        <family val="2"/>
      </rPr>
      <t>Women</t>
    </r>
  </si>
  <si>
    <r>
      <t xml:space="preserve">W osobach   </t>
    </r>
    <r>
      <rPr>
        <i/>
        <sz val="9"/>
        <rFont val="Arial"/>
        <family val="2"/>
      </rPr>
      <t>In persons</t>
    </r>
  </si>
  <si>
    <r>
      <t xml:space="preserve">EMERYCI 
</t>
    </r>
    <r>
      <rPr>
        <i/>
        <sz val="9"/>
        <color theme="1"/>
        <rFont val="Arial"/>
        <family val="2"/>
      </rPr>
      <t>RETIREES</t>
    </r>
  </si>
  <si>
    <r>
      <t xml:space="preserve">RENCIŚCI
</t>
    </r>
    <r>
      <rPr>
        <i/>
        <sz val="9"/>
        <color theme="1"/>
        <rFont val="Arial"/>
        <family val="2"/>
      </rPr>
      <t>PENSIONERS</t>
    </r>
  </si>
  <si>
    <r>
      <t>TABL.14. OSOBY POBIERAJĄCE EMERYTURY I RENTY Z TYTUŁU NIEZDOLNOŚCI DO PRACY
                  WYPŁACANE PRZEZ KASĘ ROLNICZEGO UBEZPIECZENIA SPOŁECZNEGO WEDŁUG PŁCI
                  I WIEKU</t>
    </r>
    <r>
      <rPr>
        <b/>
        <vertAlign val="superscript"/>
        <sz val="9"/>
        <color theme="1"/>
        <rFont val="Arial"/>
        <family val="2"/>
      </rPr>
      <t>a)</t>
    </r>
  </si>
  <si>
    <r>
      <t xml:space="preserve">                  PERSONS RECEIVING RETIREMENT AND DISABILITY PENSIONS PAID FROM 
                  THE AGRICULTURAL SOCIAL INSURANCE FUND BY SEX AND AGE</t>
    </r>
    <r>
      <rPr>
        <i/>
        <vertAlign val="superscript"/>
        <sz val="9"/>
        <color theme="1"/>
        <rFont val="Arial"/>
        <family val="2"/>
      </rPr>
      <t>a)</t>
    </r>
    <r>
      <rPr>
        <i/>
        <sz val="9"/>
        <color theme="1"/>
        <rFont val="Arial"/>
        <family val="2"/>
      </rPr>
      <t xml:space="preserve">
                 </t>
    </r>
    <r>
      <rPr>
        <sz val="9"/>
        <color theme="1"/>
        <rFont val="Arial"/>
        <family val="2"/>
      </rPr>
      <t xml:space="preserve">Stan w dniu 31 XII / </t>
    </r>
    <r>
      <rPr>
        <i/>
        <sz val="9"/>
        <color theme="1"/>
        <rFont val="Arial"/>
        <family val="2"/>
      </rPr>
      <t xml:space="preserve">  As of 31 XII  </t>
    </r>
  </si>
  <si>
    <r>
      <t>TABL.15. OSOBY POBIERAJĄCE EMERYTURY</t>
    </r>
    <r>
      <rPr>
        <b/>
        <vertAlign val="superscript"/>
        <sz val="9"/>
        <color theme="1"/>
        <rFont val="Arial"/>
        <family val="2"/>
      </rPr>
      <t>a)</t>
    </r>
    <r>
      <rPr>
        <b/>
        <sz val="9"/>
        <color theme="1"/>
        <rFont val="Arial"/>
        <family val="2"/>
      </rPr>
      <t xml:space="preserve"> I RENTY Z TYTUŁU NIEZDOLNOŚCI DO PRACY
                   WYPŁACANE PRZEZ MINISTERSTWO OBRONY NARODOWEJ WEDŁUG PŁCI I WIEKU </t>
    </r>
  </si>
  <si>
    <r>
      <t xml:space="preserve">                   PERSONS RECEIVING RETIREMENT AND DISABILITY PENSIONS PAID</t>
    </r>
    <r>
      <rPr>
        <i/>
        <vertAlign val="superscript"/>
        <sz val="9"/>
        <color theme="1"/>
        <rFont val="Arial"/>
        <family val="2"/>
      </rPr>
      <t xml:space="preserve">a) </t>
    </r>
    <r>
      <rPr>
        <i/>
        <sz val="9"/>
        <color theme="1"/>
        <rFont val="Arial"/>
        <family val="2"/>
      </rPr>
      <t xml:space="preserve">FROM THE MINISTRY
                   OF NATIONAL DEFENCE BY SEX AND AGE 
                   </t>
    </r>
    <r>
      <rPr>
        <sz val="9"/>
        <color theme="1"/>
        <rFont val="Arial"/>
        <family val="2"/>
      </rPr>
      <t>Stan w dniu 31 XII /</t>
    </r>
    <r>
      <rPr>
        <i/>
        <sz val="9"/>
        <color theme="1"/>
        <rFont val="Arial"/>
        <family val="2"/>
      </rPr>
      <t xml:space="preserve">   As of 31 XII </t>
    </r>
  </si>
  <si>
    <r>
      <t xml:space="preserve">                  PERSONS RECEIVING RETIREMENT AND DISABILITY PENSIONS PAID FROM THE MINISTRY
                  OF JUSTICE BY SEX AND AGE 
                 </t>
    </r>
    <r>
      <rPr>
        <sz val="9"/>
        <color theme="1"/>
        <rFont val="Arial"/>
        <family val="2"/>
      </rPr>
      <t xml:space="preserve">Stan w dniu 31 XII </t>
    </r>
    <r>
      <rPr>
        <i/>
        <sz val="9"/>
        <color theme="1"/>
        <rFont val="Arial"/>
        <family val="2"/>
      </rPr>
      <t>/   As of 31 XII</t>
    </r>
  </si>
  <si>
    <r>
      <t xml:space="preserve">                  PERSONS RECEIVING RETERIMENT AND DISABILITY PENSIONS PAID FROM
                 THE MINISTRY OF INTERIOR AND ADMINISTRATION BY SEX AND AGE 
                 </t>
    </r>
    <r>
      <rPr>
        <sz val="9"/>
        <color theme="1"/>
        <rFont val="Arial"/>
        <family val="2"/>
      </rPr>
      <t>Stan w dniu 31 XII /</t>
    </r>
    <r>
      <rPr>
        <i/>
        <sz val="9"/>
        <color theme="1"/>
        <rFont val="Arial"/>
        <family val="2"/>
      </rPr>
      <t xml:space="preserve">   As of 31 XII </t>
    </r>
  </si>
  <si>
    <r>
      <t>ZUS</t>
    </r>
    <r>
      <rPr>
        <vertAlign val="superscript"/>
        <sz val="9"/>
        <color theme="1"/>
        <rFont val="Arial"/>
        <family val="2"/>
      </rPr>
      <t>b)</t>
    </r>
    <r>
      <rPr>
        <sz val="9"/>
        <color theme="1"/>
        <rFont val="Arial"/>
        <family val="2"/>
      </rPr>
      <t>…………………………………..…….……………</t>
    </r>
  </si>
  <si>
    <r>
      <t>97 179,9</t>
    </r>
    <r>
      <rPr>
        <vertAlign val="superscript"/>
        <sz val="9"/>
        <color rgb="FF000000"/>
        <rFont val="Arial"/>
        <family val="2"/>
      </rPr>
      <t>c)</t>
    </r>
  </si>
  <si>
    <r>
      <t>SII</t>
    </r>
    <r>
      <rPr>
        <i/>
        <vertAlign val="superscript"/>
        <sz val="9"/>
        <color theme="1"/>
        <rFont val="Arial"/>
        <family val="2"/>
      </rPr>
      <t>b)</t>
    </r>
  </si>
  <si>
    <r>
      <t>MON</t>
    </r>
    <r>
      <rPr>
        <sz val="9"/>
        <color rgb="FF000000"/>
        <rFont val="Arial"/>
        <family val="2"/>
      </rPr>
      <t xml:space="preserve"> </t>
    </r>
  </si>
  <si>
    <r>
      <t>4 006,1</t>
    </r>
    <r>
      <rPr>
        <vertAlign val="superscript"/>
        <sz val="9"/>
        <color rgb="FF000000"/>
        <rFont val="Arial"/>
        <family val="2"/>
      </rPr>
      <t>c)</t>
    </r>
  </si>
  <si>
    <r>
      <t>3 919,2</t>
    </r>
    <r>
      <rPr>
        <vertAlign val="superscript"/>
        <sz val="9"/>
        <color rgb="FF000000"/>
        <rFont val="Arial"/>
        <family val="2"/>
      </rPr>
      <t>c)</t>
    </r>
  </si>
  <si>
    <r>
      <t xml:space="preserve">w mln zł
</t>
    </r>
    <r>
      <rPr>
        <i/>
        <sz val="9"/>
        <color theme="1"/>
        <rFont val="Arial"/>
        <family val="2"/>
      </rPr>
      <t>in mln zl</t>
    </r>
  </si>
  <si>
    <r>
      <t>TABL. 19. EMERYTURY I RENTY BRUTTO</t>
    </r>
    <r>
      <rPr>
        <b/>
        <vertAlign val="superscript"/>
        <sz val="9"/>
        <color theme="1"/>
        <rFont val="Arial"/>
        <family val="2"/>
      </rPr>
      <t>a)</t>
    </r>
    <r>
      <rPr>
        <b/>
        <sz val="9"/>
        <color theme="1"/>
        <rFont val="Arial"/>
        <family val="2"/>
      </rPr>
      <t xml:space="preserve"> Z ZAKŁADU UBEZPIECZEŃ SPOŁECZNYCH WEDŁUG
                   WOJEWÓDZTW </t>
    </r>
  </si>
  <si>
    <r>
      <t xml:space="preserve">                   GROSS</t>
    </r>
    <r>
      <rPr>
        <i/>
        <vertAlign val="superscript"/>
        <sz val="9"/>
        <color theme="1"/>
        <rFont val="Arial"/>
        <family val="2"/>
      </rPr>
      <t>a)</t>
    </r>
    <r>
      <rPr>
        <i/>
        <sz val="9"/>
        <color theme="1"/>
        <rFont val="Arial"/>
        <family val="2"/>
      </rPr>
      <t xml:space="preserve"> RETIREMENT AND OTHER PENSIONS FROM THE SOCIAL INSURANCE
                   INSTITUTION BY VOIVODSHIPS </t>
    </r>
  </si>
  <si>
    <r>
      <t xml:space="preserve">Emerytury i renty ogółem 
</t>
    </r>
    <r>
      <rPr>
        <i/>
        <sz val="9"/>
        <rFont val="Arial"/>
        <family val="2"/>
      </rPr>
      <t>Retirement and other pensions
in total</t>
    </r>
  </si>
  <si>
    <r>
      <t xml:space="preserve">W tym emerytury
</t>
    </r>
    <r>
      <rPr>
        <i/>
        <sz val="9"/>
        <rFont val="Arial"/>
        <family val="2"/>
      </rPr>
      <t>Of which retirement pensions</t>
    </r>
  </si>
  <si>
    <r>
      <t xml:space="preserve">w tys. zł
</t>
    </r>
    <r>
      <rPr>
        <i/>
        <sz val="9"/>
        <rFont val="Arial"/>
        <family val="2"/>
      </rPr>
      <t xml:space="preserve"> in thous. zl</t>
    </r>
  </si>
  <si>
    <r>
      <t xml:space="preserve">POLSKA </t>
    </r>
    <r>
      <rPr>
        <b/>
        <vertAlign val="superscript"/>
        <sz val="9"/>
        <rFont val="Arial"/>
        <family val="2"/>
      </rPr>
      <t>b)c)d)</t>
    </r>
    <r>
      <rPr>
        <b/>
        <sz val="9"/>
        <rFont val="Arial"/>
        <family val="2"/>
      </rPr>
      <t xml:space="preserve"> </t>
    </r>
    <r>
      <rPr>
        <sz val="9"/>
        <rFont val="Arial"/>
        <family val="2"/>
      </rPr>
      <t>..…….…………….…</t>
    </r>
  </si>
  <si>
    <r>
      <t xml:space="preserve">POLAND </t>
    </r>
    <r>
      <rPr>
        <i/>
        <vertAlign val="superscript"/>
        <sz val="9"/>
        <rFont val="Arial"/>
        <family val="2"/>
      </rPr>
      <t>b)c)d)</t>
    </r>
  </si>
  <si>
    <r>
      <t xml:space="preserve">Województwa razem </t>
    </r>
    <r>
      <rPr>
        <b/>
        <vertAlign val="superscript"/>
        <sz val="9"/>
        <color rgb="FF000000"/>
        <rFont val="Arial"/>
        <family val="2"/>
      </rPr>
      <t xml:space="preserve">e) </t>
    </r>
    <r>
      <rPr>
        <vertAlign val="superscript"/>
        <sz val="9"/>
        <color rgb="FF000000"/>
        <rFont val="Arial"/>
        <family val="2"/>
      </rPr>
      <t xml:space="preserve"> </t>
    </r>
    <r>
      <rPr>
        <sz val="9"/>
        <color rgb="FF000000"/>
        <rFont val="Arial"/>
        <family val="2"/>
      </rPr>
      <t>..……….….</t>
    </r>
  </si>
  <si>
    <r>
      <t>Voivodships  total</t>
    </r>
    <r>
      <rPr>
        <i/>
        <vertAlign val="superscript"/>
        <sz val="9"/>
        <color rgb="FF000000"/>
        <rFont val="Arial"/>
        <family val="2"/>
      </rPr>
      <t xml:space="preserve"> e) </t>
    </r>
  </si>
  <si>
    <r>
      <t xml:space="preserve">POLSKA </t>
    </r>
    <r>
      <rPr>
        <b/>
        <vertAlign val="superscript"/>
        <sz val="9"/>
        <rFont val="Arial"/>
        <family val="2"/>
      </rPr>
      <t>b)c)</t>
    </r>
    <r>
      <rPr>
        <b/>
        <sz val="9"/>
        <rFont val="Arial"/>
        <family val="2"/>
      </rPr>
      <t xml:space="preserve"> </t>
    </r>
    <r>
      <rPr>
        <sz val="9"/>
        <rFont val="Arial"/>
        <family val="2"/>
      </rPr>
      <t>..……..……..………..</t>
    </r>
  </si>
  <si>
    <r>
      <t>Województwa razem</t>
    </r>
    <r>
      <rPr>
        <b/>
        <vertAlign val="superscript"/>
        <sz val="9"/>
        <color rgb="FF000000"/>
        <rFont val="Arial"/>
        <family val="2"/>
      </rPr>
      <t xml:space="preserve">d) </t>
    </r>
    <r>
      <rPr>
        <vertAlign val="superscript"/>
        <sz val="9"/>
        <color rgb="FF000000"/>
        <rFont val="Arial"/>
        <family val="2"/>
      </rPr>
      <t xml:space="preserve"> </t>
    </r>
    <r>
      <rPr>
        <sz val="9"/>
        <color rgb="FF000000"/>
        <rFont val="Arial"/>
        <family val="2"/>
      </rPr>
      <t>..…………..</t>
    </r>
  </si>
  <si>
    <r>
      <t>Voivodships  total</t>
    </r>
    <r>
      <rPr>
        <i/>
        <vertAlign val="superscript"/>
        <sz val="9"/>
        <color rgb="FF000000"/>
        <rFont val="Arial"/>
        <family val="2"/>
      </rPr>
      <t xml:space="preserve"> d) </t>
    </r>
  </si>
  <si>
    <r>
      <t>TABL. 21. EMERYTURY I RENTY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b)c)</t>
    </r>
  </si>
  <si>
    <r>
      <t xml:space="preserve">                   GROSS</t>
    </r>
    <r>
      <rPr>
        <i/>
        <vertAlign val="superscript"/>
        <sz val="9"/>
        <color theme="1"/>
        <rFont val="Arial"/>
        <family val="2"/>
      </rPr>
      <t xml:space="preserve">a) </t>
    </r>
    <r>
      <rPr>
        <i/>
        <sz val="9"/>
        <color theme="1"/>
        <rFont val="Arial"/>
        <family val="2"/>
      </rPr>
      <t>RETIREMENT AND OTHER PENSIONS FROM THE AGRICULTURAL SOCIAL
                   INSURANCE FUND BY VOIVODSHIPS</t>
    </r>
    <r>
      <rPr>
        <i/>
        <vertAlign val="superscript"/>
        <sz val="9"/>
        <color theme="1"/>
        <rFont val="Arial"/>
        <family val="2"/>
      </rPr>
      <t>b)c)</t>
    </r>
  </si>
  <si>
    <r>
      <t>Emerytury i renty ogółem</t>
    </r>
    <r>
      <rPr>
        <vertAlign val="superscript"/>
        <sz val="9"/>
        <rFont val="Arial"/>
        <family val="2"/>
      </rPr>
      <t>d)e)</t>
    </r>
    <r>
      <rPr>
        <sz val="9"/>
        <rFont val="Arial"/>
        <family val="2"/>
      </rPr>
      <t xml:space="preserve">
</t>
    </r>
    <r>
      <rPr>
        <i/>
        <sz val="9"/>
        <rFont val="Arial"/>
        <family val="2"/>
      </rPr>
      <t>Retirement and other pensions in total</t>
    </r>
    <r>
      <rPr>
        <i/>
        <vertAlign val="superscript"/>
        <sz val="9"/>
        <rFont val="Arial"/>
        <family val="2"/>
      </rPr>
      <t>d)e)</t>
    </r>
  </si>
  <si>
    <r>
      <t>TABL. 22. RENTY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t>
    </r>
    <r>
      <rPr>
        <b/>
        <sz val="9"/>
        <color theme="1"/>
        <rFont val="Arial"/>
        <family val="2"/>
      </rPr>
      <t xml:space="preserve"> </t>
    </r>
  </si>
  <si>
    <r>
      <t xml:space="preserve">                    GROSS</t>
    </r>
    <r>
      <rPr>
        <i/>
        <vertAlign val="superscript"/>
        <sz val="9"/>
        <color theme="1"/>
        <rFont val="Arial"/>
        <family val="2"/>
      </rPr>
      <t xml:space="preserve">a) </t>
    </r>
    <r>
      <rPr>
        <i/>
        <sz val="9"/>
        <color theme="1"/>
        <rFont val="Arial"/>
        <family val="2"/>
      </rPr>
      <t>PENSIONS FROM THE AGRICULTURAL SOCIAL INSURANCE FUND BY
                   VOIVODSHIPS</t>
    </r>
    <r>
      <rPr>
        <i/>
        <vertAlign val="superscript"/>
        <sz val="9"/>
        <color rgb="FF000000"/>
        <rFont val="Arial"/>
        <family val="2"/>
      </rPr>
      <t>b)</t>
    </r>
  </si>
  <si>
    <r>
      <t>Renty rodzinne</t>
    </r>
    <r>
      <rPr>
        <vertAlign val="superscript"/>
        <sz val="9"/>
        <rFont val="Arial"/>
        <family val="2"/>
      </rPr>
      <t>c)</t>
    </r>
    <r>
      <rPr>
        <sz val="9"/>
        <rFont val="Arial"/>
        <family val="2"/>
      </rPr>
      <t xml:space="preserve">
</t>
    </r>
    <r>
      <rPr>
        <i/>
        <sz val="9"/>
        <rFont val="Arial"/>
        <family val="2"/>
      </rPr>
      <t>Survivors pensions</t>
    </r>
    <r>
      <rPr>
        <i/>
        <vertAlign val="superscript"/>
        <sz val="9"/>
        <rFont val="Arial"/>
        <family val="2"/>
      </rPr>
      <t>c)</t>
    </r>
  </si>
  <si>
    <r>
      <t>TABL.23. EMERYTURY I RENTY BRUTTO</t>
    </r>
    <r>
      <rPr>
        <b/>
        <vertAlign val="superscript"/>
        <sz val="9"/>
        <color theme="1"/>
        <rFont val="Arial"/>
        <family val="2"/>
      </rPr>
      <t>a)</t>
    </r>
    <r>
      <rPr>
        <b/>
        <sz val="9"/>
        <color theme="1"/>
        <rFont val="Arial"/>
        <family val="2"/>
      </rPr>
      <t xml:space="preserve"> Z MINISTERSTWA OBRONY NARODOWEJ, 
                  MINISTERSTWA SPRAWIEDLIWOŚCI I MINISTERSTWA SPRAW WEWNĘTRZNYCH
                  I ADMINISTRACJI</t>
    </r>
  </si>
  <si>
    <r>
      <t xml:space="preserve">                 GROSS</t>
    </r>
    <r>
      <rPr>
        <i/>
        <vertAlign val="superscript"/>
        <sz val="9"/>
        <color theme="1"/>
        <rFont val="Arial"/>
        <family val="2"/>
      </rPr>
      <t>a)</t>
    </r>
    <r>
      <rPr>
        <i/>
        <sz val="9"/>
        <color theme="1"/>
        <rFont val="Arial"/>
        <family val="2"/>
      </rPr>
      <t xml:space="preserve"> RETIREMENT AND OTHER PENSIONS FROM THE MINISTRY OF NATIONAL
                 DEFENCE, THE MINISTRY OF JUSTICE AND THE MINISTRY OF INTERIOR 
                 AND ADMINISTRATION</t>
    </r>
  </si>
  <si>
    <r>
      <t>MSWiA</t>
    </r>
    <r>
      <rPr>
        <vertAlign val="superscript"/>
        <sz val="9"/>
        <rFont val="Arial"/>
        <family val="2"/>
      </rPr>
      <t>b)c)</t>
    </r>
    <r>
      <rPr>
        <sz val="9"/>
        <rFont val="Arial"/>
        <family val="2"/>
      </rPr>
      <t xml:space="preserve">
</t>
    </r>
    <r>
      <rPr>
        <i/>
        <sz val="9"/>
        <rFont val="Arial"/>
        <family val="2"/>
      </rPr>
      <t>MIA</t>
    </r>
    <r>
      <rPr>
        <i/>
        <vertAlign val="superscript"/>
        <sz val="9"/>
        <rFont val="Arial"/>
        <family val="2"/>
      </rPr>
      <t>b)c)</t>
    </r>
  </si>
  <si>
    <r>
      <t xml:space="preserve">w zł   </t>
    </r>
    <r>
      <rPr>
        <i/>
        <sz val="9"/>
        <color theme="1"/>
        <rFont val="Arial"/>
        <family val="2"/>
      </rPr>
      <t>w zl</t>
    </r>
  </si>
  <si>
    <r>
      <rPr>
        <i/>
        <sz val="9"/>
        <rFont val="Arial"/>
        <family val="2"/>
      </rPr>
      <t>Retirement and other pensions in total</t>
    </r>
    <r>
      <rPr>
        <vertAlign val="superscript"/>
        <sz val="9"/>
        <rFont val="Arial"/>
        <family val="2"/>
      </rPr>
      <t xml:space="preserve"> </t>
    </r>
  </si>
  <si>
    <r>
      <t>TABL.24. LICZBA EMERYTÓW Z ZAKŁADU UBEZPIECZEŃ SPOŁECZNYCH</t>
    </r>
    <r>
      <rPr>
        <b/>
        <vertAlign val="superscript"/>
        <sz val="9"/>
        <color theme="1"/>
        <rFont val="Arial"/>
        <family val="2"/>
      </rPr>
      <t xml:space="preserve">a) </t>
    </r>
    <r>
      <rPr>
        <b/>
        <sz val="9"/>
        <color theme="1"/>
        <rFont val="Arial"/>
        <family val="2"/>
      </rPr>
      <t>WEDŁUG WYSOKOŚCI
                  ŚWIADCZEŃ W LATACH 2000-2011</t>
    </r>
    <r>
      <rPr>
        <b/>
        <vertAlign val="superscript"/>
        <sz val="9"/>
        <color theme="1"/>
        <rFont val="Arial"/>
        <family val="2"/>
      </rPr>
      <t>b)</t>
    </r>
  </si>
  <si>
    <r>
      <t xml:space="preserve">                 NUMBER OF RETIREES FROM THE SOCIAL INSURANCE INSTITUTION</t>
    </r>
    <r>
      <rPr>
        <i/>
        <vertAlign val="superscript"/>
        <sz val="9"/>
        <color theme="1"/>
        <rFont val="Arial"/>
        <family val="2"/>
      </rPr>
      <t>a)</t>
    </r>
    <r>
      <rPr>
        <i/>
        <sz val="9"/>
        <color theme="1"/>
        <rFont val="Arial"/>
        <family val="2"/>
      </rPr>
      <t xml:space="preserve"> BY BENEFIT AMOUNT
                 IN 2000-2011</t>
    </r>
    <r>
      <rPr>
        <i/>
        <vertAlign val="superscript"/>
        <sz val="9"/>
        <color theme="1"/>
        <rFont val="Arial"/>
        <family val="2"/>
      </rPr>
      <t>b)</t>
    </r>
  </si>
  <si>
    <r>
      <t xml:space="preserve">Wysokość świadczeń 
brutto w zł
</t>
    </r>
    <r>
      <rPr>
        <i/>
        <sz val="9"/>
        <color theme="1"/>
        <rFont val="Arial"/>
        <family val="2"/>
      </rPr>
      <t>Gross benefit amount in zl</t>
    </r>
  </si>
  <si>
    <r>
      <t xml:space="preserve">OGÓŁEM   </t>
    </r>
    <r>
      <rPr>
        <i/>
        <sz val="9"/>
        <color theme="1"/>
        <rFont val="Arial"/>
        <family val="2"/>
      </rPr>
      <t>TOTAL</t>
    </r>
  </si>
  <si>
    <r>
      <t xml:space="preserve">w tys. osób 
</t>
    </r>
    <r>
      <rPr>
        <i/>
        <sz val="9"/>
        <color theme="1"/>
        <rFont val="Arial"/>
        <family val="2"/>
      </rPr>
      <t>in thousand persons</t>
    </r>
  </si>
  <si>
    <r>
      <t>TABL.25. LICZBA EMERYTÓW I RENCISTÓW Z ZAKŁADU UBEZPIECZEŃ SPOŁECZNYCH</t>
    </r>
    <r>
      <rPr>
        <b/>
        <vertAlign val="superscript"/>
        <sz val="9"/>
        <color theme="1"/>
        <rFont val="Arial"/>
        <family val="2"/>
      </rPr>
      <t xml:space="preserve">a) </t>
    </r>
    <r>
      <rPr>
        <b/>
        <sz val="9"/>
        <color theme="1"/>
        <rFont val="Arial"/>
        <family val="2"/>
      </rPr>
      <t>WEDŁUG
                  PŁCI ORAZ WYSOKOŚCI ŚWIADCZEŃ W MARCU 2017 R</t>
    </r>
  </si>
  <si>
    <r>
      <t xml:space="preserve">                  NUMBER OF RETIREES AND OTHER PENSIONERS FROM THE SOCIAL INSURANCE
                  INSTITUTION</t>
    </r>
    <r>
      <rPr>
        <i/>
        <vertAlign val="superscript"/>
        <sz val="9"/>
        <color theme="1"/>
        <rFont val="Arial"/>
        <family val="2"/>
      </rPr>
      <t>a)</t>
    </r>
    <r>
      <rPr>
        <i/>
        <sz val="9"/>
        <color theme="1"/>
        <rFont val="Arial"/>
        <family val="2"/>
      </rPr>
      <t>BY SEX AND BENEFIT AMOUNT IN MARCH OF 2017</t>
    </r>
  </si>
  <si>
    <r>
      <t xml:space="preserve">Emeryci </t>
    </r>
    <r>
      <rPr>
        <vertAlign val="superscript"/>
        <sz val="9"/>
        <color theme="1"/>
        <rFont val="Arial"/>
        <family val="2"/>
      </rPr>
      <t>b)</t>
    </r>
    <r>
      <rPr>
        <sz val="9"/>
        <color theme="1"/>
        <rFont val="Arial"/>
        <family val="2"/>
      </rPr>
      <t xml:space="preserve">
</t>
    </r>
    <r>
      <rPr>
        <i/>
        <sz val="9"/>
        <color theme="1"/>
        <rFont val="Arial"/>
        <family val="2"/>
      </rPr>
      <t>Retirees</t>
    </r>
    <r>
      <rPr>
        <i/>
        <vertAlign val="superscript"/>
        <sz val="9"/>
        <color theme="1"/>
        <rFont val="Arial"/>
        <family val="2"/>
      </rPr>
      <t>b)</t>
    </r>
  </si>
  <si>
    <r>
      <t xml:space="preserve">Otrzymujący renty z tytułu niezdolności do pracy
</t>
    </r>
    <r>
      <rPr>
        <i/>
        <sz val="9"/>
        <color theme="1"/>
        <rFont val="Arial"/>
        <family val="2"/>
      </rPr>
      <t>Receiving disability pensions</t>
    </r>
  </si>
  <si>
    <r>
      <t xml:space="preserve">Renty rodzinne
</t>
    </r>
    <r>
      <rPr>
        <i/>
        <sz val="9"/>
        <color theme="1"/>
        <rFont val="Arial"/>
        <family val="2"/>
      </rPr>
      <t>Family pensions</t>
    </r>
  </si>
  <si>
    <r>
      <t xml:space="preserve">w tys. osób
</t>
    </r>
    <r>
      <rPr>
        <i/>
        <sz val="9"/>
        <color theme="1"/>
        <rFont val="Arial"/>
        <family val="2"/>
      </rPr>
      <t>in thous. persons</t>
    </r>
    <r>
      <rPr>
        <sz val="9"/>
        <color theme="1"/>
        <rFont val="Arial"/>
        <family val="2"/>
      </rPr>
      <t xml:space="preserve"> </t>
    </r>
  </si>
  <si>
    <r>
      <t xml:space="preserve">kobiety
w tys.
</t>
    </r>
    <r>
      <rPr>
        <i/>
        <sz val="9"/>
        <color theme="1"/>
        <rFont val="Arial"/>
        <family val="2"/>
      </rPr>
      <t>women
in thous.</t>
    </r>
  </si>
  <si>
    <r>
      <t xml:space="preserve">w tys. osób
</t>
    </r>
    <r>
      <rPr>
        <i/>
        <sz val="9"/>
        <color theme="1"/>
        <rFont val="Arial"/>
        <family val="2"/>
      </rPr>
      <t xml:space="preserve">in thous. persons </t>
    </r>
  </si>
  <si>
    <r>
      <t xml:space="preserve">w tys. 
</t>
    </r>
    <r>
      <rPr>
        <i/>
        <sz val="9"/>
        <color theme="1"/>
        <rFont val="Arial"/>
        <family val="2"/>
      </rPr>
      <t xml:space="preserve">in thous. </t>
    </r>
  </si>
  <si>
    <r>
      <t xml:space="preserve">w zł
</t>
    </r>
    <r>
      <rPr>
        <i/>
        <sz val="9"/>
        <color theme="1"/>
        <rFont val="Arial"/>
        <family val="2"/>
      </rPr>
      <t>in zl</t>
    </r>
  </si>
  <si>
    <r>
      <t>ZUS</t>
    </r>
    <r>
      <rPr>
        <vertAlign val="superscript"/>
        <sz val="9"/>
        <color theme="1"/>
        <rFont val="Arial"/>
        <family val="2"/>
      </rPr>
      <t>b)</t>
    </r>
    <r>
      <rPr>
        <sz val="9"/>
        <color theme="1"/>
        <rFont val="Arial"/>
        <family val="2"/>
      </rPr>
      <t xml:space="preserve"> ……..…………....……..……...…..……..………</t>
    </r>
  </si>
  <si>
    <r>
      <t>1 127,23</t>
    </r>
    <r>
      <rPr>
        <vertAlign val="superscript"/>
        <sz val="9"/>
        <color rgb="FF000000"/>
        <rFont val="Arial"/>
        <family val="2"/>
      </rPr>
      <t>c)</t>
    </r>
  </si>
  <si>
    <r>
      <t>MON</t>
    </r>
    <r>
      <rPr>
        <i/>
        <sz val="9"/>
        <color rgb="FF000000"/>
        <rFont val="Arial"/>
        <family val="2"/>
      </rPr>
      <t xml:space="preserve">  </t>
    </r>
  </si>
  <si>
    <r>
      <t>2 177,90</t>
    </r>
    <r>
      <rPr>
        <vertAlign val="superscript"/>
        <sz val="9"/>
        <color rgb="FF000000"/>
        <rFont val="Arial"/>
        <family val="2"/>
      </rPr>
      <t>c)</t>
    </r>
  </si>
  <si>
    <r>
      <t>MSWiA</t>
    </r>
    <r>
      <rPr>
        <i/>
        <sz val="9"/>
        <color theme="1"/>
        <rFont val="Arial"/>
        <family val="2"/>
      </rPr>
      <t xml:space="preserve">  </t>
    </r>
  </si>
  <si>
    <r>
      <t>2 009,61</t>
    </r>
    <r>
      <rPr>
        <vertAlign val="superscript"/>
        <sz val="9"/>
        <color rgb="FF000000"/>
        <rFont val="Arial"/>
        <family val="2"/>
      </rPr>
      <t>c)</t>
    </r>
  </si>
  <si>
    <r>
      <t>MS</t>
    </r>
    <r>
      <rPr>
        <i/>
        <sz val="9"/>
        <color rgb="FF000000"/>
        <rFont val="Arial"/>
        <family val="2"/>
      </rPr>
      <t xml:space="preserve"> </t>
    </r>
  </si>
  <si>
    <r>
      <t>TABL. 27. PRZECIĘTNA MIESIĘCZNA EMERYTURA I RENTA BRUTTO</t>
    </r>
    <r>
      <rPr>
        <b/>
        <vertAlign val="superscript"/>
        <sz val="9"/>
        <color theme="1"/>
        <rFont val="Arial"/>
        <family val="2"/>
      </rPr>
      <t>a)</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</si>
  <si>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a)</t>
    </r>
    <r>
      <rPr>
        <i/>
        <sz val="9"/>
        <color theme="1"/>
        <rFont val="Arial"/>
        <family val="2"/>
      </rPr>
      <t xml:space="preserve"> RETIREMENT AND OTHER PENSION FROM THE SOCIAL
                    INSURANCE INSTITUTION BY VOIVODSHIPS </t>
    </r>
  </si>
  <si>
    <r>
      <t xml:space="preserve">w zł
</t>
    </r>
    <r>
      <rPr>
        <i/>
        <sz val="9"/>
        <rFont val="Arial"/>
        <family val="2"/>
      </rPr>
      <t xml:space="preserve"> in zl</t>
    </r>
  </si>
  <si>
    <r>
      <t xml:space="preserve">POLSKA </t>
    </r>
    <r>
      <rPr>
        <b/>
        <vertAlign val="superscript"/>
        <sz val="9"/>
        <rFont val="Arial"/>
        <family val="2"/>
      </rPr>
      <t>b)c)d)</t>
    </r>
    <r>
      <rPr>
        <sz val="9"/>
        <rFont val="Arial"/>
        <family val="2"/>
      </rPr>
      <t xml:space="preserve"> ..……..……..……….</t>
    </r>
  </si>
  <si>
    <r>
      <t>Województwa razem</t>
    </r>
    <r>
      <rPr>
        <b/>
        <vertAlign val="superscript"/>
        <sz val="9"/>
        <color rgb="FF000000"/>
        <rFont val="Arial"/>
        <family val="2"/>
      </rPr>
      <t>e)</t>
    </r>
    <r>
      <rPr>
        <vertAlign val="superscript"/>
        <sz val="9"/>
        <color rgb="FF000000"/>
        <rFont val="Arial"/>
        <family val="2"/>
      </rPr>
      <t xml:space="preserve">  </t>
    </r>
    <r>
      <rPr>
        <sz val="9"/>
        <color rgb="FF000000"/>
        <rFont val="Arial"/>
        <family val="2"/>
      </rPr>
      <t>..…………..</t>
    </r>
  </si>
  <si>
    <r>
      <t>TABL. 28. PRZECIĘTNA MIESIĘCZNA RENTA BRUTTO</t>
    </r>
    <r>
      <rPr>
        <b/>
        <vertAlign val="superscript"/>
        <sz val="9"/>
        <color theme="1"/>
        <rFont val="Arial"/>
        <family val="2"/>
      </rPr>
      <t>a)</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</si>
  <si>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 xml:space="preserve">a) </t>
    </r>
    <r>
      <rPr>
        <i/>
        <sz val="9"/>
        <color theme="1"/>
        <rFont val="Arial"/>
        <family val="2"/>
      </rPr>
      <t xml:space="preserve">PENSION FROM THE SOCIAL INSURANCE INSTITUTION 
                  BY VOIVODSHIPS </t>
    </r>
  </si>
  <si>
    <r>
      <t xml:space="preserve">POLSKA </t>
    </r>
    <r>
      <rPr>
        <b/>
        <vertAlign val="superscript"/>
        <sz val="9"/>
        <rFont val="Arial"/>
        <family val="2"/>
      </rPr>
      <t>b)c)</t>
    </r>
    <r>
      <rPr>
        <b/>
        <sz val="9"/>
        <rFont val="Arial"/>
        <family val="2"/>
      </rPr>
      <t xml:space="preserve"> </t>
    </r>
    <r>
      <rPr>
        <sz val="9"/>
        <rFont val="Arial"/>
        <family val="2"/>
      </rPr>
      <t>..……..……..…………</t>
    </r>
  </si>
  <si>
    <r>
      <t>Województwa razem</t>
    </r>
    <r>
      <rPr>
        <b/>
        <vertAlign val="superscript"/>
        <sz val="9"/>
        <color rgb="FF000000"/>
        <rFont val="Arial"/>
        <family val="2"/>
      </rPr>
      <t xml:space="preserve">d)  </t>
    </r>
    <r>
      <rPr>
        <sz val="9"/>
        <color rgb="FF000000"/>
        <rFont val="Arial"/>
        <family val="2"/>
      </rPr>
      <t>..…………..</t>
    </r>
  </si>
  <si>
    <r>
      <t xml:space="preserve">Przeciętna miesięczna emerytura i renta brutto w złotych
</t>
    </r>
    <r>
      <rPr>
        <i/>
        <sz val="9"/>
        <rFont val="Arial"/>
        <family val="2"/>
      </rPr>
      <t>Average monthly gross retirement and other pension in zl</t>
    </r>
  </si>
  <si>
    <r>
      <t xml:space="preserve">ogółem 
</t>
    </r>
    <r>
      <rPr>
        <i/>
        <sz val="9"/>
        <rFont val="Arial"/>
        <family val="2"/>
      </rPr>
      <t>total</t>
    </r>
  </si>
  <si>
    <r>
      <t xml:space="preserve">w tym emerytura
</t>
    </r>
    <r>
      <rPr>
        <i/>
        <sz val="9"/>
        <rFont val="Arial"/>
        <family val="2"/>
      </rPr>
      <t>of which retirement pension</t>
    </r>
  </si>
  <si>
    <r>
      <t xml:space="preserve">POLSKA </t>
    </r>
    <r>
      <rPr>
        <b/>
        <vertAlign val="superscript"/>
        <sz val="9"/>
        <rFont val="Arial"/>
        <family val="2"/>
      </rPr>
      <t xml:space="preserve">c)d) </t>
    </r>
    <r>
      <rPr>
        <b/>
        <sz val="9"/>
        <rFont val="Arial"/>
        <family val="2"/>
      </rPr>
      <t>……..……..…….....</t>
    </r>
  </si>
  <si>
    <r>
      <t xml:space="preserve">POLAND </t>
    </r>
    <r>
      <rPr>
        <i/>
        <vertAlign val="superscript"/>
        <sz val="9"/>
        <rFont val="Arial"/>
        <family val="2"/>
      </rPr>
      <t xml:space="preserve">c)d) </t>
    </r>
    <r>
      <rPr>
        <i/>
        <sz val="9"/>
        <rFont val="Arial"/>
        <family val="2"/>
      </rPr>
      <t>……..….…....…..…</t>
    </r>
  </si>
  <si>
    <r>
      <t xml:space="preserve">Emerytury 
i renty 
ogółem 
</t>
    </r>
    <r>
      <rPr>
        <i/>
        <sz val="9"/>
        <rFont val="Arial"/>
        <family val="2"/>
      </rPr>
      <t>Retirement and other pensions in total</t>
    </r>
  </si>
  <si>
    <r>
      <t xml:space="preserve">W zł   </t>
    </r>
    <r>
      <rPr>
        <i/>
        <sz val="9"/>
        <color theme="1"/>
        <rFont val="Arial"/>
        <family val="2"/>
      </rPr>
      <t>In zl</t>
    </r>
  </si>
  <si>
    <r>
      <t>POLSKA</t>
    </r>
    <r>
      <rPr>
        <b/>
        <vertAlign val="superscript"/>
        <sz val="9"/>
        <rFont val="Arial"/>
        <family val="2"/>
      </rPr>
      <t>c)d)</t>
    </r>
    <r>
      <rPr>
        <vertAlign val="superscript"/>
        <sz val="9"/>
        <rFont val="Arial"/>
        <family val="2"/>
      </rPr>
      <t xml:space="preserve"> </t>
    </r>
    <r>
      <rPr>
        <b/>
        <sz val="9"/>
        <rFont val="Arial"/>
        <family val="2"/>
      </rPr>
      <t>…..….....………..…</t>
    </r>
  </si>
  <si>
    <r>
      <rPr>
        <b/>
        <i/>
        <sz val="9"/>
        <rFont val="Arial"/>
        <family val="2"/>
      </rPr>
      <t>POLAND</t>
    </r>
    <r>
      <rPr>
        <b/>
        <i/>
        <vertAlign val="superscript"/>
        <sz val="9"/>
        <rFont val="Arial"/>
        <family val="2"/>
      </rPr>
      <t>c</t>
    </r>
    <r>
      <rPr>
        <b/>
        <vertAlign val="superscript"/>
        <sz val="9"/>
        <rFont val="Arial"/>
        <family val="2"/>
      </rPr>
      <t>)</t>
    </r>
    <r>
      <rPr>
        <b/>
        <i/>
        <vertAlign val="superscript"/>
        <sz val="9"/>
        <rFont val="Arial"/>
        <family val="2"/>
      </rPr>
      <t xml:space="preserve">d) </t>
    </r>
    <r>
      <rPr>
        <sz val="9"/>
        <rFont val="Arial"/>
        <family val="2"/>
      </rPr>
      <t>……..……..……..…</t>
    </r>
  </si>
  <si>
    <r>
      <t>POLSKA</t>
    </r>
    <r>
      <rPr>
        <b/>
        <vertAlign val="superscript"/>
        <sz val="9"/>
        <rFont val="Arial"/>
        <family val="2"/>
      </rPr>
      <t xml:space="preserve">c)d) </t>
    </r>
    <r>
      <rPr>
        <b/>
        <sz val="9"/>
        <rFont val="Arial"/>
        <family val="2"/>
      </rPr>
      <t>……..…...…..……..……..…</t>
    </r>
  </si>
  <si>
    <r>
      <t>POLAND</t>
    </r>
    <r>
      <rPr>
        <i/>
        <vertAlign val="superscript"/>
        <sz val="9"/>
        <rFont val="Arial"/>
        <family val="2"/>
      </rPr>
      <t xml:space="preserve">c)d) </t>
    </r>
  </si>
  <si>
    <r>
      <t>TABL. 31. PRZECIĘTNA MIESIĘCZNA EMERYTURA I RENTA BRUTTO</t>
    </r>
    <r>
      <rPr>
        <b/>
        <vertAlign val="superscript"/>
        <sz val="9"/>
        <color theme="1"/>
        <rFont val="Arial"/>
        <family val="2"/>
      </rPr>
      <t>a)</t>
    </r>
    <r>
      <rPr>
        <b/>
        <sz val="9"/>
        <color theme="1"/>
        <rFont val="Arial"/>
        <family val="2"/>
      </rPr>
      <t xml:space="preserve"> Z KASY ROLNICZEGO
                   UBEZPIECZENIA SPOŁECZNEGO WEDŁUG WOJEWÓDZTW</t>
    </r>
    <r>
      <rPr>
        <b/>
        <vertAlign val="superscript"/>
        <sz val="9"/>
        <color theme="1"/>
        <rFont val="Arial"/>
        <family val="2"/>
      </rPr>
      <t>b)c)</t>
    </r>
  </si>
  <si>
    <r>
      <t xml:space="preserve">                   MONTHLY AVERAGE GROSS</t>
    </r>
    <r>
      <rPr>
        <i/>
        <vertAlign val="superscript"/>
        <sz val="9"/>
        <color theme="1"/>
        <rFont val="Arial"/>
        <family val="2"/>
      </rPr>
      <t xml:space="preserve">a) </t>
    </r>
    <r>
      <rPr>
        <i/>
        <sz val="9"/>
        <color theme="1"/>
        <rFont val="Arial"/>
        <family val="2"/>
      </rPr>
      <t>RETIREMENT AND OTHER PENSION FROM THE
                   AGRICULTURAL SOCIAL INSURANCE FUND BY VOIVODSHIPS</t>
    </r>
    <r>
      <rPr>
        <i/>
        <vertAlign val="superscript"/>
        <sz val="9"/>
        <color theme="1"/>
        <rFont val="Arial"/>
        <family val="2"/>
      </rPr>
      <t>b)c)</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</si>
  <si>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</si>
  <si>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TABL. 32. PRZECIĘTNA MIESIĘCZNA RENTA BRUTTO</t>
    </r>
    <r>
      <rPr>
        <b/>
        <vertAlign val="superscript"/>
        <sz val="9"/>
        <color theme="1"/>
        <rFont val="Arial"/>
        <family val="2"/>
      </rPr>
      <t xml:space="preserve">a) </t>
    </r>
    <r>
      <rPr>
        <b/>
        <sz val="9"/>
        <color theme="1"/>
        <rFont val="Arial"/>
        <family val="2"/>
      </rPr>
      <t>Z KASY ROLNICZEGO UBEZPIECZENIA
                   SPOŁECZNEGO WEDŁUG WOJEWÓDZTW</t>
    </r>
    <r>
      <rPr>
        <b/>
        <vertAlign val="superscript"/>
        <sz val="9"/>
        <color theme="1"/>
        <rFont val="Arial"/>
        <family val="2"/>
      </rPr>
      <t>b)c)</t>
    </r>
  </si>
  <si>
    <r>
      <t xml:space="preserve">                  MONTHLY AVERAGE GROSS</t>
    </r>
    <r>
      <rPr>
        <i/>
        <vertAlign val="superscript"/>
        <sz val="9"/>
        <color theme="1"/>
        <rFont val="Arial"/>
        <family val="2"/>
      </rPr>
      <t xml:space="preserve">a) </t>
    </r>
    <r>
      <rPr>
        <i/>
        <sz val="9"/>
        <color theme="1"/>
        <rFont val="Arial"/>
        <family val="2"/>
      </rPr>
      <t>PENSION FROM THE AGRICULTURAL SOCIAL INSURANCE
                  FUND BY VOIVODSHIPS</t>
    </r>
    <r>
      <rPr>
        <i/>
        <vertAlign val="superscript"/>
        <sz val="9"/>
        <color theme="1"/>
        <rFont val="Arial"/>
        <family val="2"/>
      </rPr>
      <t>b)c)</t>
    </r>
  </si>
  <si>
    <r>
      <t>Renty rodzinne</t>
    </r>
    <r>
      <rPr>
        <vertAlign val="superscript"/>
        <sz val="9"/>
        <rFont val="Arial"/>
        <family val="2"/>
      </rPr>
      <t xml:space="preserve">d)
</t>
    </r>
    <r>
      <rPr>
        <i/>
        <sz val="9"/>
        <rFont val="Arial"/>
        <family val="2"/>
      </rPr>
      <t>Survivors pensions</t>
    </r>
    <r>
      <rPr>
        <i/>
        <vertAlign val="superscript"/>
        <sz val="9"/>
        <rFont val="Arial"/>
        <family val="2"/>
      </rPr>
      <t>d)</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</si>
  <si>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</si>
  <si>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 xml:space="preserve">w zł
</t>
    </r>
    <r>
      <rPr>
        <i/>
        <sz val="9"/>
        <rFont val="Arial"/>
        <family val="2"/>
      </rPr>
      <t>in zl</t>
    </r>
  </si>
  <si>
    <r>
      <t>1 221,69</t>
    </r>
    <r>
      <rPr>
        <b/>
        <vertAlign val="superscript"/>
        <sz val="9"/>
        <rFont val="Arial"/>
        <family val="2"/>
      </rPr>
      <t>f)</t>
    </r>
  </si>
  <si>
    <r>
      <t>Emerytury 
i renty 
ogółem</t>
    </r>
    <r>
      <rPr>
        <vertAlign val="superscript"/>
        <sz val="9"/>
        <rFont val="Arial"/>
        <family val="2"/>
      </rPr>
      <t xml:space="preserve">d)e) </t>
    </r>
    <r>
      <rPr>
        <sz val="9"/>
        <rFont val="Arial"/>
        <family val="2"/>
      </rPr>
      <t xml:space="preserve">
</t>
    </r>
    <r>
      <rPr>
        <i/>
        <sz val="9"/>
        <rFont val="Arial"/>
        <family val="2"/>
      </rPr>
      <t>Retirement and other pensions in total</t>
    </r>
    <r>
      <rPr>
        <i/>
        <vertAlign val="superscript"/>
        <sz val="9"/>
        <rFont val="Arial"/>
        <family val="2"/>
      </rPr>
      <t>d)e)</t>
    </r>
  </si>
  <si>
    <r>
      <t>Renty rodzinne</t>
    </r>
    <r>
      <rPr>
        <vertAlign val="superscript"/>
        <sz val="9"/>
        <rFont val="Arial"/>
        <family val="2"/>
      </rPr>
      <t>f)</t>
    </r>
    <r>
      <rPr>
        <sz val="9"/>
        <rFont val="Arial"/>
        <family val="2"/>
      </rPr>
      <t xml:space="preserve">
</t>
    </r>
    <r>
      <rPr>
        <i/>
        <sz val="9"/>
        <rFont val="Arial"/>
        <family val="2"/>
      </rPr>
      <t>Survivors pensions</t>
    </r>
    <r>
      <rPr>
        <i/>
        <vertAlign val="superscript"/>
        <sz val="9"/>
        <rFont val="Arial"/>
        <family val="2"/>
      </rPr>
      <t>f)</t>
    </r>
  </si>
  <si>
    <r>
      <t>TABL.35. PRZECIĘTNA MIESIĘCZNA EMERYTURA I RENTA BRUTTO</t>
    </r>
    <r>
      <rPr>
        <b/>
        <vertAlign val="superscript"/>
        <sz val="9"/>
        <color theme="1"/>
        <rFont val="Arial"/>
        <family val="2"/>
      </rPr>
      <t xml:space="preserve">a) </t>
    </r>
    <r>
      <rPr>
        <b/>
        <sz val="9"/>
        <color theme="1"/>
        <rFont val="Arial"/>
        <family val="2"/>
      </rPr>
      <t>Z MINISTERSTWA OBRONY
                   NARODOWEJ, MINISTERSTWA SPRAWIEDLIWOŚCI I MINISTERSTWA SPRAW
                   WEWNĘTRZNYCH I ADMINISTRACJI</t>
    </r>
  </si>
  <si>
    <r>
      <t xml:space="preserve">                  MONTHLY AVERAGE GROSS</t>
    </r>
    <r>
      <rPr>
        <i/>
        <vertAlign val="superscript"/>
        <sz val="9"/>
        <color theme="1"/>
        <rFont val="Arial"/>
        <family val="2"/>
      </rPr>
      <t>a)</t>
    </r>
    <r>
      <rPr>
        <i/>
        <sz val="9"/>
        <color theme="1"/>
        <rFont val="Arial"/>
        <family val="2"/>
      </rPr>
      <t xml:space="preserve"> RETIREMENT AND OTHER PENSION FROM THE MINISTRY 
                  OF NATIONAL DEFENCE, THE MINISTRY OF JUSTICE AND THE MINISTRY OF INTERIOR
                  AND ADMINISTRATION</t>
    </r>
  </si>
  <si>
    <r>
      <t xml:space="preserve">MON
</t>
    </r>
    <r>
      <rPr>
        <i/>
        <sz val="9"/>
        <color theme="1"/>
        <rFont val="Arial"/>
        <family val="2"/>
      </rPr>
      <t>MND</t>
    </r>
  </si>
  <si>
    <r>
      <t xml:space="preserve">MS
</t>
    </r>
    <r>
      <rPr>
        <i/>
        <sz val="9"/>
        <color theme="1"/>
        <rFont val="Arial"/>
        <family val="2"/>
      </rPr>
      <t>MJ</t>
    </r>
  </si>
  <si>
    <r>
      <t xml:space="preserve">MSWiA
</t>
    </r>
    <r>
      <rPr>
        <i/>
        <sz val="9"/>
        <color theme="1"/>
        <rFont val="Arial"/>
        <family val="2"/>
      </rPr>
      <t>MIA</t>
    </r>
  </si>
  <si>
    <r>
      <t xml:space="preserve">w liczbach bezwzględ-nych 
</t>
    </r>
    <r>
      <rPr>
        <i/>
        <sz val="9"/>
        <color theme="1"/>
        <rFont val="Arial"/>
        <family val="2"/>
      </rPr>
      <t>in absolute numbers</t>
    </r>
  </si>
  <si>
    <r>
      <t xml:space="preserve">w liczbach bezwzględ-nych
 </t>
    </r>
    <r>
      <rPr>
        <i/>
        <sz val="9"/>
        <color theme="1"/>
        <rFont val="Arial"/>
        <family val="2"/>
      </rPr>
      <t>in absolute numbers</t>
    </r>
  </si>
  <si>
    <r>
      <t xml:space="preserve">Liczba świadczeń   </t>
    </r>
    <r>
      <rPr>
        <i/>
        <sz val="9"/>
        <color theme="1"/>
        <rFont val="Arial"/>
        <family val="2"/>
      </rPr>
      <t>Number of benefits</t>
    </r>
  </si>
  <si>
    <r>
      <t xml:space="preserve">Kwota wypłat  </t>
    </r>
    <r>
      <rPr>
        <i/>
        <sz val="9"/>
        <color theme="1"/>
        <rFont val="Arial"/>
        <family val="2"/>
      </rPr>
      <t xml:space="preserve"> Benefits in total</t>
    </r>
  </si>
  <si>
    <r>
      <t>TABL. 37. ŚWIADCZENIA Z ZAKŁADU UBEZPIECZEŃ SPOŁECZNYCH Z ROZDZIAŁU 75313
                   WYDATKÓW BUDŻETU PAŃSTWA</t>
    </r>
    <r>
      <rPr>
        <b/>
        <vertAlign val="superscript"/>
        <sz val="9"/>
        <color theme="1"/>
        <rFont val="Arial"/>
        <family val="2"/>
      </rPr>
      <t>a)</t>
    </r>
  </si>
  <si>
    <r>
      <t xml:space="preserve">                   BENEFITS FROM THE SOCIAL INSURANCE INSTITUTION FROM 75313 ALLOCATION  IN STATE
                   BUDGET</t>
    </r>
    <r>
      <rPr>
        <i/>
        <vertAlign val="superscript"/>
        <sz val="9"/>
        <color theme="1"/>
        <rFont val="Arial"/>
        <family val="2"/>
      </rPr>
      <t>a)</t>
    </r>
  </si>
  <si>
    <r>
      <t xml:space="preserve">Liczba świadczeń
</t>
    </r>
    <r>
      <rPr>
        <i/>
        <sz val="9"/>
        <rFont val="Arial"/>
        <family val="2"/>
      </rPr>
      <t>Number of benefits</t>
    </r>
  </si>
  <si>
    <r>
      <t xml:space="preserve">Kwota wypłat
</t>
    </r>
    <r>
      <rPr>
        <i/>
        <sz val="9"/>
        <rFont val="Arial"/>
        <family val="2"/>
      </rPr>
      <t>Benefits in total</t>
    </r>
  </si>
  <si>
    <r>
      <t xml:space="preserve">w liczbach bezwzględnych 
</t>
    </r>
    <r>
      <rPr>
        <i/>
        <sz val="9"/>
        <rFont val="Arial"/>
        <family val="2"/>
      </rPr>
      <t>in absolute numbers</t>
    </r>
  </si>
  <si>
    <r>
      <t xml:space="preserve">w tys. zł
</t>
    </r>
    <r>
      <rPr>
        <i/>
        <sz val="9"/>
        <rFont val="Arial"/>
        <family val="2"/>
      </rPr>
      <t>in thous.zl</t>
    </r>
  </si>
  <si>
    <r>
      <t xml:space="preserve">Kwota świadczeń brutto w mln zł
</t>
    </r>
    <r>
      <rPr>
        <i/>
        <sz val="9"/>
        <rFont val="Arial"/>
        <family val="2"/>
      </rPr>
      <t>Gross benefits
in mln zl</t>
    </r>
  </si>
  <si>
    <r>
      <t xml:space="preserve">Przeciętne miesięczne świadczenie
brutto w zł
</t>
    </r>
    <r>
      <rPr>
        <i/>
        <sz val="9"/>
        <rFont val="Arial"/>
        <family val="2"/>
      </rPr>
      <t>Average monthly gross benefit in zl</t>
    </r>
  </si>
  <si>
    <r>
      <t>Emerytury razem</t>
    </r>
    <r>
      <rPr>
        <b/>
        <vertAlign val="superscript"/>
        <sz val="9"/>
        <color rgb="FF000000"/>
        <rFont val="Arial"/>
        <family val="2"/>
      </rPr>
      <t>b</t>
    </r>
    <r>
      <rPr>
        <b/>
        <i/>
        <vertAlign val="superscript"/>
        <sz val="9"/>
        <color rgb="FF000000"/>
        <rFont val="Arial"/>
        <family val="2"/>
      </rPr>
      <t>)</t>
    </r>
    <r>
      <rPr>
        <sz val="9"/>
        <color rgb="FF000000"/>
        <rFont val="Arial"/>
        <family val="2"/>
      </rPr>
      <t xml:space="preserve"> </t>
    </r>
    <r>
      <rPr>
        <i/>
        <sz val="9"/>
        <color rgb="FF000000"/>
        <rFont val="Arial"/>
        <family val="2"/>
      </rPr>
      <t>Total retirement pensions</t>
    </r>
    <r>
      <rPr>
        <i/>
        <vertAlign val="superscript"/>
        <sz val="9"/>
        <color rgb="FF000000"/>
        <rFont val="Arial"/>
        <family val="2"/>
      </rPr>
      <t xml:space="preserve">b) </t>
    </r>
    <r>
      <rPr>
        <sz val="9"/>
        <color rgb="FF000000"/>
        <rFont val="Arial"/>
        <family val="2"/>
      </rPr>
      <t>……..……...……..……..………</t>
    </r>
  </si>
  <si>
    <r>
      <t>pracowników kolejowych</t>
    </r>
    <r>
      <rPr>
        <vertAlign val="superscript"/>
        <sz val="9"/>
        <color rgb="FF000000"/>
        <rFont val="Arial"/>
        <family val="2"/>
      </rPr>
      <t>c)</t>
    </r>
    <r>
      <rPr>
        <sz val="9"/>
        <color rgb="FF000000"/>
        <rFont val="Arial"/>
        <family val="2"/>
      </rPr>
      <t xml:space="preserve"> ……..……..……....……..……..……………..…</t>
    </r>
  </si>
  <si>
    <r>
      <t>railway employees</t>
    </r>
    <r>
      <rPr>
        <vertAlign val="superscript"/>
        <sz val="9"/>
        <color rgb="FF000000"/>
        <rFont val="Arial"/>
        <family val="2"/>
      </rPr>
      <t xml:space="preserve"> </t>
    </r>
    <r>
      <rPr>
        <i/>
        <vertAlign val="superscript"/>
        <sz val="9"/>
        <color rgb="FF000000"/>
        <rFont val="Arial"/>
        <family val="2"/>
      </rPr>
      <t>c)</t>
    </r>
    <r>
      <rPr>
        <i/>
        <sz val="9"/>
        <color rgb="FF000000"/>
        <rFont val="Arial"/>
        <family val="2"/>
      </rPr>
      <t xml:space="preserve"> </t>
    </r>
  </si>
  <si>
    <r>
      <t>Renty z tytułu niezdolności do pracy razem</t>
    </r>
    <r>
      <rPr>
        <b/>
        <vertAlign val="superscript"/>
        <sz val="9"/>
        <color rgb="FF000000"/>
        <rFont val="Arial"/>
        <family val="2"/>
      </rPr>
      <t xml:space="preserve">b)d)  </t>
    </r>
    <r>
      <rPr>
        <i/>
        <sz val="9"/>
        <color rgb="FF000000"/>
        <rFont val="Arial"/>
        <family val="2"/>
      </rPr>
      <t>Disability pensions</t>
    </r>
    <r>
      <rPr>
        <i/>
        <vertAlign val="superscript"/>
        <sz val="9"/>
        <color rgb="FF000000"/>
        <rFont val="Arial"/>
        <family val="2"/>
      </rPr>
      <t>b)d)</t>
    </r>
    <r>
      <rPr>
        <sz val="9"/>
        <color rgb="FF000000"/>
        <rFont val="Arial"/>
        <family val="2"/>
      </rPr>
      <t>…..….....</t>
    </r>
  </si>
  <si>
    <r>
      <t>Renty rodzinne razem</t>
    </r>
    <r>
      <rPr>
        <b/>
        <vertAlign val="superscript"/>
        <sz val="9"/>
        <color rgb="FF000000"/>
        <rFont val="Arial"/>
        <family val="2"/>
      </rPr>
      <t>c)d)</t>
    </r>
    <r>
      <rPr>
        <b/>
        <sz val="9"/>
        <color rgb="FF000000"/>
        <rFont val="Arial"/>
        <family val="2"/>
      </rPr>
      <t xml:space="preserve"> </t>
    </r>
    <r>
      <rPr>
        <i/>
        <sz val="9"/>
        <color rgb="FF000000"/>
        <rFont val="Arial"/>
        <family val="2"/>
      </rPr>
      <t>Total survivors pensions</t>
    </r>
    <r>
      <rPr>
        <b/>
        <vertAlign val="superscript"/>
        <sz val="9"/>
        <color rgb="FF000000"/>
        <rFont val="Arial"/>
        <family val="2"/>
      </rPr>
      <t xml:space="preserve">c)d)  </t>
    </r>
    <r>
      <rPr>
        <sz val="9"/>
        <color rgb="FF000000"/>
        <rFont val="Arial"/>
        <family val="2"/>
      </rPr>
      <t>..….….………..……...…</t>
    </r>
  </si>
  <si>
    <r>
      <t>pracowników kolejowych</t>
    </r>
    <r>
      <rPr>
        <vertAlign val="superscript"/>
        <sz val="9"/>
        <color rgb="FF000000"/>
        <rFont val="Arial"/>
        <family val="2"/>
      </rPr>
      <t>c)</t>
    </r>
    <r>
      <rPr>
        <sz val="9"/>
        <color rgb="FF000000"/>
        <rFont val="Arial"/>
        <family val="2"/>
      </rPr>
      <t xml:space="preserve"> ……..……..……..……..….…..……..………..…</t>
    </r>
  </si>
  <si>
    <r>
      <t>TABL. 39. EMERYTURY I RENTY BRUTTO</t>
    </r>
    <r>
      <rPr>
        <b/>
        <vertAlign val="superscript"/>
        <sz val="9"/>
        <color theme="1"/>
        <rFont val="Arial"/>
        <family val="2"/>
      </rPr>
      <t>a)</t>
    </r>
    <r>
      <rPr>
        <b/>
        <sz val="9"/>
        <color theme="1"/>
        <rFont val="Arial"/>
        <family val="2"/>
      </rPr>
      <t xml:space="preserve"> Z POZAROLNICZEGO SYSTEMU UBEZPIECZEŃ
                   SPOŁECZNYCH WEDŁUG ZAWODÓW </t>
    </r>
  </si>
  <si>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budżetów tych instytucji. </t>
  </si>
  <si>
    <r>
      <t>TABL. 40. RELACJA PRZECIĘTNEJ  MIESIĘCZNEJ EMERYTURY BRUTTO</t>
    </r>
    <r>
      <rPr>
        <b/>
        <vertAlign val="superscript"/>
        <sz val="8"/>
        <color theme="1"/>
        <rFont val="Arial"/>
        <family val="2"/>
      </rPr>
      <t xml:space="preserve">a) </t>
    </r>
    <r>
      <rPr>
        <b/>
        <sz val="8"/>
        <color theme="1"/>
        <rFont val="Arial"/>
        <family val="2"/>
      </rPr>
      <t>Z POZAROLNICZEGO
                   SYSTEMU UBEZPIECZEŃ SPOŁECZNYCH DO PRZECIĘTNEGO WYNAGRODZENIA
                   W GOSPODARCE NARODOWEJ</t>
    </r>
    <r>
      <rPr>
        <b/>
        <vertAlign val="superscript"/>
        <sz val="8"/>
        <color theme="1"/>
        <rFont val="Arial"/>
        <family val="2"/>
      </rPr>
      <t>b)</t>
    </r>
    <r>
      <rPr>
        <b/>
        <sz val="8"/>
        <color theme="1"/>
        <rFont val="Arial"/>
        <family val="2"/>
      </rPr>
      <t xml:space="preserve"> </t>
    </r>
  </si>
  <si>
    <r>
      <t xml:space="preserve">                   RELATION OF MONTHLY AVERAGE GROSS</t>
    </r>
    <r>
      <rPr>
        <i/>
        <vertAlign val="superscript"/>
        <sz val="8"/>
        <color theme="1"/>
        <rFont val="Arial"/>
        <family val="2"/>
      </rPr>
      <t>a)</t>
    </r>
    <r>
      <rPr>
        <i/>
        <sz val="8"/>
        <color theme="1"/>
        <rFont val="Arial"/>
        <family val="2"/>
      </rPr>
      <t xml:space="preserve"> RETIREMENT PENSION FROM NON-
                   AGRICULTURAL SOCIAL SECURITY SYSTEM TO MONTHLY AVERAGE GROSS WAGES 
                   AND SALARIES IN THE NATIONAL ECONOMY</t>
    </r>
    <r>
      <rPr>
        <i/>
        <vertAlign val="superscript"/>
        <sz val="8"/>
        <color theme="1"/>
        <rFont val="Arial"/>
        <family val="2"/>
      </rPr>
      <t>b)</t>
    </r>
    <r>
      <rPr>
        <i/>
        <sz val="8"/>
        <color theme="1"/>
        <rFont val="Arial"/>
        <family val="2"/>
      </rPr>
      <t xml:space="preserve"> </t>
    </r>
  </si>
  <si>
    <r>
      <t xml:space="preserve">Minimum socjalne (w zł)
</t>
    </r>
    <r>
      <rPr>
        <i/>
        <sz val="9"/>
        <color theme="1"/>
        <rFont val="Arial"/>
        <family val="2"/>
      </rPr>
      <t>Social minimum (in zl)</t>
    </r>
  </si>
  <si>
    <r>
      <t xml:space="preserve">Minimum egzystencji (w zł)
</t>
    </r>
    <r>
      <rPr>
        <i/>
        <sz val="9"/>
        <color theme="1"/>
        <rFont val="Arial"/>
        <family val="2"/>
      </rPr>
      <t>Subsistence minimum (in zl)</t>
    </r>
  </si>
  <si>
    <r>
      <t xml:space="preserve">1-osobowe
M+K/2
</t>
    </r>
    <r>
      <rPr>
        <i/>
        <sz val="9"/>
        <color theme="1"/>
        <rFont val="Arial"/>
        <family val="2"/>
      </rPr>
      <t>sole
M+W/2</t>
    </r>
  </si>
  <si>
    <r>
      <t xml:space="preserve">2-osobowe
M+K
</t>
    </r>
    <r>
      <rPr>
        <i/>
        <sz val="9"/>
        <color theme="1"/>
        <rFont val="Arial"/>
        <family val="2"/>
      </rPr>
      <t>dual
M+W</t>
    </r>
  </si>
  <si>
    <r>
      <t xml:space="preserve">Przeciętna emerytura brutto 
z pozarolniczego systemu ubezpieczeń (w zł)
</t>
    </r>
    <r>
      <rPr>
        <i/>
        <sz val="8.5"/>
        <color theme="1"/>
        <rFont val="Arial"/>
        <family val="2"/>
      </rPr>
      <t>Average gross retirement pension from non-agricultural social security system
(in zl)</t>
    </r>
  </si>
  <si>
    <r>
      <t xml:space="preserve">Przeciętny miesięczny dochód rozporządzalny 
na 1 osobę
w gospodarstwie domowym emerytów (w zł)
</t>
    </r>
    <r>
      <rPr>
        <i/>
        <sz val="8.5"/>
        <color theme="1"/>
        <rFont val="Arial"/>
        <family val="2"/>
      </rPr>
      <t>Monthly average disposable income per capita in retirees houshold (in zl)</t>
    </r>
  </si>
  <si>
    <r>
      <t xml:space="preserve">Gospodarstwa domowe
</t>
    </r>
    <r>
      <rPr>
        <i/>
        <sz val="9"/>
        <color theme="1"/>
        <rFont val="Arial"/>
        <family val="2"/>
      </rPr>
      <t>Households</t>
    </r>
  </si>
  <si>
    <r>
      <t xml:space="preserve">ogółem
</t>
    </r>
    <r>
      <rPr>
        <i/>
        <sz val="9"/>
        <rFont val="Arial"/>
        <family val="2"/>
      </rPr>
      <t>total</t>
    </r>
  </si>
  <si>
    <r>
      <t xml:space="preserve">emerytów
i rencistów razem
</t>
    </r>
    <r>
      <rPr>
        <i/>
        <sz val="9"/>
        <rFont val="Arial"/>
        <family val="2"/>
      </rPr>
      <t>of retirees and pensioners in total</t>
    </r>
  </si>
  <si>
    <r>
      <t xml:space="preserve">emerytów
</t>
    </r>
    <r>
      <rPr>
        <i/>
        <sz val="9"/>
        <rFont val="Arial"/>
        <family val="2"/>
      </rPr>
      <t>of retirees</t>
    </r>
  </si>
  <si>
    <r>
      <t xml:space="preserve">rencistów
</t>
    </r>
    <r>
      <rPr>
        <i/>
        <sz val="9"/>
        <rFont val="Arial"/>
        <family val="2"/>
      </rPr>
      <t>of pensioners</t>
    </r>
  </si>
  <si>
    <r>
      <t xml:space="preserve">W zł na osobę  </t>
    </r>
    <r>
      <rPr>
        <i/>
        <sz val="9"/>
        <rFont val="Arial"/>
        <family val="2"/>
      </rPr>
      <t xml:space="preserve"> In zl per capita</t>
    </r>
  </si>
  <si>
    <r>
      <t>DOCHÓD ROZPORZĄDZALNY</t>
    </r>
    <r>
      <rPr>
        <sz val="9"/>
        <color rgb="FF000000"/>
        <rFont val="Arial"/>
        <family val="2"/>
      </rPr>
      <t xml:space="preserve"> </t>
    </r>
  </si>
  <si>
    <r>
      <t xml:space="preserve">W %   </t>
    </r>
    <r>
      <rPr>
        <i/>
        <sz val="9"/>
        <rFont val="Arial"/>
        <family val="2"/>
      </rPr>
      <t>In %</t>
    </r>
    <r>
      <rPr>
        <sz val="9"/>
        <rFont val="Arial"/>
        <family val="2"/>
      </rPr>
      <t xml:space="preserve"> (2016 = 100) – nominalnie  </t>
    </r>
    <r>
      <rPr>
        <i/>
        <sz val="9"/>
        <rFont val="Arial"/>
        <family val="2"/>
      </rPr>
      <t xml:space="preserve"> nominal</t>
    </r>
  </si>
  <si>
    <r>
      <t xml:space="preserve">W %   </t>
    </r>
    <r>
      <rPr>
        <i/>
        <sz val="9"/>
        <rFont val="Arial"/>
        <family val="2"/>
      </rPr>
      <t>In %</t>
    </r>
    <r>
      <rPr>
        <sz val="9"/>
        <rFont val="Arial"/>
        <family val="2"/>
      </rPr>
      <t xml:space="preserve"> (2016 = 100) – realnie   </t>
    </r>
    <r>
      <rPr>
        <i/>
        <sz val="9"/>
        <rFont val="Arial"/>
        <family val="2"/>
      </rPr>
      <t>real</t>
    </r>
  </si>
  <si>
    <r>
      <t>W %   dochodu rozporządzalnego</t>
    </r>
    <r>
      <rPr>
        <i/>
        <sz val="9"/>
        <rFont val="Arial"/>
        <family val="2"/>
      </rPr>
      <t xml:space="preserve">
In % of available income</t>
    </r>
  </si>
  <si>
    <r>
      <t xml:space="preserve">   w tym z: </t>
    </r>
    <r>
      <rPr>
        <i/>
        <sz val="9"/>
        <color theme="1"/>
        <rFont val="Arial"/>
        <family val="2"/>
      </rPr>
      <t>of  which from:</t>
    </r>
  </si>
  <si>
    <r>
      <t xml:space="preserve">  </t>
    </r>
    <r>
      <rPr>
        <i/>
        <sz val="9"/>
        <color rgb="FF000000"/>
        <rFont val="Arial"/>
        <family val="2"/>
      </rPr>
      <t xml:space="preserve"> child-rising benefit </t>
    </r>
  </si>
  <si>
    <r>
      <t xml:space="preserve">WYDATKI OGÓŁEM </t>
    </r>
    <r>
      <rPr>
        <b/>
        <vertAlign val="superscript"/>
        <sz val="9"/>
        <color rgb="FF000000"/>
        <rFont val="Arial"/>
        <family val="2"/>
      </rPr>
      <t>a)</t>
    </r>
    <r>
      <rPr>
        <b/>
        <sz val="9"/>
        <color rgb="FF000000"/>
        <rFont val="Arial"/>
        <family val="2"/>
      </rPr>
      <t xml:space="preserve"> </t>
    </r>
    <r>
      <rPr>
        <sz val="9"/>
        <color rgb="FF000000"/>
        <rFont val="Arial"/>
        <family val="2"/>
      </rPr>
      <t>…..………………………..</t>
    </r>
  </si>
  <si>
    <r>
      <t xml:space="preserve">EXPENDITURES IN TOTAL </t>
    </r>
    <r>
      <rPr>
        <i/>
        <vertAlign val="superscript"/>
        <sz val="9"/>
        <color rgb="FF000000"/>
        <rFont val="Arial"/>
        <family val="2"/>
      </rPr>
      <t>a)</t>
    </r>
  </si>
  <si>
    <r>
      <t xml:space="preserve">  </t>
    </r>
    <r>
      <rPr>
        <i/>
        <sz val="9"/>
        <color rgb="FF000000"/>
        <rFont val="Arial"/>
        <family val="2"/>
      </rPr>
      <t xml:space="preserve"> alcoholic beverages, tobacco </t>
    </r>
  </si>
  <si>
    <r>
      <t xml:space="preserve">   odzież i obuwie</t>
    </r>
    <r>
      <rPr>
        <i/>
        <sz val="9"/>
        <color rgb="FF000000"/>
        <rFont val="Arial"/>
        <family val="2"/>
      </rPr>
      <t xml:space="preserve"> clothing and footwear</t>
    </r>
    <r>
      <rPr>
        <sz val="9"/>
        <color rgb="FF000000"/>
        <rFont val="Arial"/>
        <family val="2"/>
      </rPr>
      <t>……..…….…</t>
    </r>
  </si>
  <si>
    <r>
      <t xml:space="preserve">     w tym nośniki energii</t>
    </r>
    <r>
      <rPr>
        <vertAlign val="superscript"/>
        <sz val="9"/>
        <color theme="1"/>
        <rFont val="Arial"/>
        <family val="2"/>
      </rPr>
      <t>b)</t>
    </r>
    <r>
      <rPr>
        <sz val="9"/>
        <color theme="1"/>
        <rFont val="Arial"/>
        <family val="2"/>
      </rPr>
      <t xml:space="preserve"> ….…..…...…………....…</t>
    </r>
  </si>
  <si>
    <r>
      <t xml:space="preserve">    </t>
    </r>
    <r>
      <rPr>
        <i/>
        <sz val="9"/>
        <color theme="1"/>
        <rFont val="Arial"/>
        <family val="2"/>
      </rPr>
      <t>of which electricity, gas and other fuels</t>
    </r>
    <r>
      <rPr>
        <i/>
        <vertAlign val="superscript"/>
        <sz val="9"/>
        <color theme="1"/>
        <rFont val="Arial"/>
        <family val="2"/>
      </rPr>
      <t>b)</t>
    </r>
  </si>
  <si>
    <r>
      <t xml:space="preserve">      w tym: </t>
    </r>
    <r>
      <rPr>
        <i/>
        <sz val="9"/>
        <color theme="1"/>
        <rFont val="Arial"/>
        <family val="2"/>
      </rPr>
      <t>of which:</t>
    </r>
  </si>
  <si>
    <r>
      <t>łączność</t>
    </r>
    <r>
      <rPr>
        <vertAlign val="superscript"/>
        <sz val="9"/>
        <color theme="1"/>
        <rFont val="Arial"/>
        <family val="2"/>
      </rPr>
      <t>c)</t>
    </r>
    <r>
      <rPr>
        <i/>
        <sz val="9"/>
        <color theme="1"/>
        <rFont val="Arial"/>
        <family val="2"/>
      </rPr>
      <t xml:space="preserve"> communication</t>
    </r>
    <r>
      <rPr>
        <i/>
        <vertAlign val="superscript"/>
        <sz val="9"/>
        <color theme="1"/>
        <rFont val="Arial"/>
        <family val="2"/>
      </rPr>
      <t xml:space="preserve">c) </t>
    </r>
    <r>
      <rPr>
        <i/>
        <sz val="9"/>
        <color theme="1"/>
        <rFont val="Arial"/>
        <family val="2"/>
      </rPr>
      <t>………..…………….…….</t>
    </r>
  </si>
  <si>
    <r>
      <t>rekreacja i kultura</t>
    </r>
    <r>
      <rPr>
        <vertAlign val="superscript"/>
        <sz val="9"/>
        <color theme="1"/>
        <rFont val="Arial"/>
        <family val="2"/>
      </rPr>
      <t xml:space="preserve">d) </t>
    </r>
    <r>
      <rPr>
        <sz val="9"/>
        <color theme="1"/>
        <rFont val="Arial"/>
        <family val="2"/>
      </rPr>
      <t>…………………………...………</t>
    </r>
  </si>
  <si>
    <r>
      <t>recreation and culture</t>
    </r>
    <r>
      <rPr>
        <i/>
        <vertAlign val="superscript"/>
        <sz val="9"/>
        <color theme="1"/>
        <rFont val="Arial"/>
        <family val="2"/>
      </rPr>
      <t>d)</t>
    </r>
  </si>
  <si>
    <r>
      <t>pozostałe towary i usługi</t>
    </r>
    <r>
      <rPr>
        <vertAlign val="superscript"/>
        <sz val="9"/>
        <color theme="1"/>
        <rFont val="Arial"/>
        <family val="2"/>
      </rPr>
      <t xml:space="preserve">a)  </t>
    </r>
    <r>
      <rPr>
        <sz val="9"/>
        <color theme="1"/>
        <rFont val="Arial"/>
        <family val="2"/>
      </rPr>
      <t>.….….….…....…………..</t>
    </r>
  </si>
  <si>
    <r>
      <t xml:space="preserve">W % wydatków   </t>
    </r>
    <r>
      <rPr>
        <i/>
        <sz val="9"/>
        <rFont val="Arial"/>
        <family val="2"/>
      </rPr>
      <t>In % of expenditures</t>
    </r>
  </si>
  <si>
    <r>
      <t>WYDATKI OGÓŁEM – nominalne</t>
    </r>
    <r>
      <rPr>
        <b/>
        <vertAlign val="superscript"/>
        <sz val="9"/>
        <color rgb="FF000000"/>
        <rFont val="Arial"/>
        <family val="2"/>
      </rPr>
      <t>a)</t>
    </r>
    <r>
      <rPr>
        <b/>
        <sz val="9"/>
        <color rgb="FF000000"/>
        <rFont val="Arial"/>
        <family val="2"/>
      </rPr>
      <t xml:space="preserve"> …...…....…..</t>
    </r>
  </si>
  <si>
    <r>
      <t>EXPENDITURES IN TOTAL – nominal</t>
    </r>
    <r>
      <rPr>
        <i/>
        <vertAlign val="superscript"/>
        <sz val="9"/>
        <color rgb="FF000000"/>
        <rFont val="Arial"/>
        <family val="2"/>
      </rPr>
      <t>a)</t>
    </r>
  </si>
  <si>
    <r>
      <t xml:space="preserve">   w tym: </t>
    </r>
    <r>
      <rPr>
        <i/>
        <sz val="9"/>
        <color rgb="FF000000"/>
        <rFont val="Arial"/>
        <family val="2"/>
      </rPr>
      <t>of which</t>
    </r>
  </si>
  <si>
    <r>
      <t xml:space="preserve">   odzież i obuwie</t>
    </r>
    <r>
      <rPr>
        <i/>
        <sz val="9"/>
        <color rgb="FF000000"/>
        <rFont val="Arial"/>
        <family val="2"/>
      </rPr>
      <t xml:space="preserve"> </t>
    </r>
  </si>
  <si>
    <r>
      <t xml:space="preserve">   </t>
    </r>
    <r>
      <rPr>
        <i/>
        <sz val="9"/>
        <color rgb="FF000000"/>
        <rFont val="Arial"/>
        <family val="2"/>
      </rPr>
      <t>clothing and footwear</t>
    </r>
  </si>
  <si>
    <r>
      <t xml:space="preserve">     w tym nośniki energii</t>
    </r>
    <r>
      <rPr>
        <vertAlign val="superscript"/>
        <sz val="9"/>
        <color theme="1"/>
        <rFont val="Arial"/>
        <family val="2"/>
      </rPr>
      <t>b)</t>
    </r>
    <r>
      <rPr>
        <sz val="9"/>
        <color theme="1"/>
        <rFont val="Arial"/>
        <family val="2"/>
      </rPr>
      <t xml:space="preserve"> ….…..……………...…….</t>
    </r>
  </si>
  <si>
    <r>
      <t xml:space="preserve">  </t>
    </r>
    <r>
      <rPr>
        <sz val="9"/>
        <color theme="1"/>
        <rFont val="Arial"/>
        <family val="2"/>
      </rPr>
      <t xml:space="preserve"> zdrowie </t>
    </r>
    <r>
      <rPr>
        <i/>
        <sz val="9"/>
        <color theme="1"/>
        <rFont val="Arial"/>
        <family val="2"/>
      </rPr>
      <t>health …..……………..…………….….…..</t>
    </r>
  </si>
  <si>
    <r>
      <t xml:space="preserve">   transport </t>
    </r>
    <r>
      <rPr>
        <i/>
        <sz val="9"/>
        <color theme="1"/>
        <rFont val="Arial"/>
        <family val="2"/>
      </rPr>
      <t>transport …..……………..……..………...</t>
    </r>
  </si>
  <si>
    <r>
      <t xml:space="preserve">   łączność</t>
    </r>
    <r>
      <rPr>
        <vertAlign val="superscript"/>
        <sz val="9"/>
        <color theme="1"/>
        <rFont val="Arial"/>
        <family val="2"/>
      </rPr>
      <t>c)</t>
    </r>
    <r>
      <rPr>
        <i/>
        <sz val="9"/>
        <color theme="1"/>
        <rFont val="Arial"/>
        <family val="2"/>
      </rPr>
      <t xml:space="preserve"> communication</t>
    </r>
    <r>
      <rPr>
        <i/>
        <vertAlign val="superscript"/>
        <sz val="9"/>
        <color theme="1"/>
        <rFont val="Arial"/>
        <family val="2"/>
      </rPr>
      <t xml:space="preserve">c) </t>
    </r>
    <r>
      <rPr>
        <i/>
        <sz val="9"/>
        <color theme="1"/>
        <rFont val="Arial"/>
        <family val="2"/>
      </rPr>
      <t>…….…..…………..…..</t>
    </r>
  </si>
  <si>
    <r>
      <t xml:space="preserve">   rekreacja i kultura</t>
    </r>
    <r>
      <rPr>
        <vertAlign val="superscript"/>
        <sz val="9"/>
        <color theme="1"/>
        <rFont val="Arial"/>
        <family val="2"/>
      </rPr>
      <t xml:space="preserve">d) </t>
    </r>
    <r>
      <rPr>
        <sz val="9"/>
        <color theme="1"/>
        <rFont val="Arial"/>
        <family val="2"/>
      </rPr>
      <t>………………..………………</t>
    </r>
  </si>
  <si>
    <r>
      <t xml:space="preserve">   recreation and culture</t>
    </r>
    <r>
      <rPr>
        <i/>
        <vertAlign val="superscript"/>
        <sz val="9"/>
        <color theme="1"/>
        <rFont val="Arial"/>
        <family val="2"/>
      </rPr>
      <t>d)</t>
    </r>
  </si>
  <si>
    <r>
      <t xml:space="preserve">   </t>
    </r>
    <r>
      <rPr>
        <i/>
        <sz val="9"/>
        <color theme="1"/>
        <rFont val="Arial"/>
        <family val="2"/>
      </rPr>
      <t xml:space="preserve">education </t>
    </r>
  </si>
  <si>
    <r>
      <t xml:space="preserve">   pozostałe towary i usługi</t>
    </r>
    <r>
      <rPr>
        <vertAlign val="superscript"/>
        <sz val="9"/>
        <color theme="1"/>
        <rFont val="Arial"/>
        <family val="2"/>
      </rPr>
      <t xml:space="preserve">a)  </t>
    </r>
    <r>
      <rPr>
        <sz val="9"/>
        <color theme="1"/>
        <rFont val="Arial"/>
        <family val="2"/>
      </rPr>
      <t>.….…...………....….….</t>
    </r>
  </si>
  <si>
    <r>
      <t xml:space="preserve">   w tym: </t>
    </r>
    <r>
      <rPr>
        <i/>
        <sz val="9"/>
        <color theme="1"/>
        <rFont val="Arial"/>
        <family val="2"/>
      </rPr>
      <t>of which:</t>
    </r>
    <r>
      <rPr>
        <sz val="9"/>
        <color theme="1"/>
        <rFont val="Arial"/>
        <family val="2"/>
      </rPr>
      <t xml:space="preserve"> </t>
    </r>
  </si>
  <si>
    <r>
      <t>a) Excluding consumption in restaurants or pubs. b) Excluding crispbread, toasted bread and confectionery. c) Excluding potatos flour. d) Including raw becon. e) Excluding offal preparations. f) Excluding pickles, processed sea and fresh-water food</t>
    </r>
    <r>
      <rPr>
        <sz val="8"/>
        <color theme="1"/>
        <rFont val="Arial"/>
        <family val="2"/>
      </rPr>
      <t xml:space="preserve"> </t>
    </r>
    <r>
      <rPr>
        <i/>
        <sz val="8"/>
        <color theme="1"/>
        <rFont val="Arial"/>
        <family val="2"/>
      </rPr>
      <t>and fish, ready-to-serve foods including coated food products. g) Excluding condensed and powdered milk. h) Excluding sweet cottage cheese. i) Exluding raw bacon.</t>
    </r>
  </si>
  <si>
    <r>
      <t>TABL.45. PRZECIĘTNE MIESIĘCZNE SPOŻYCIE</t>
    </r>
    <r>
      <rPr>
        <b/>
        <vertAlign val="superscript"/>
        <sz val="9"/>
        <color theme="1"/>
        <rFont val="Arial"/>
        <family val="2"/>
      </rPr>
      <t>a)</t>
    </r>
    <r>
      <rPr>
        <b/>
        <sz val="9"/>
        <color theme="1"/>
        <rFont val="Arial"/>
        <family val="2"/>
      </rPr>
      <t xml:space="preserve"> NIEKTÓRYCH ARTYKUŁÓW
                 ŻYWNOŚCIOWYCH NA 1 OSOBĘ W GOSPODARSTWACH DOMOWYCH EMERYTÓW
                 I RENCISTÓW </t>
    </r>
  </si>
  <si>
    <r>
      <t xml:space="preserve">                 MONTHLY AVERAGE CONSUMPTION</t>
    </r>
    <r>
      <rPr>
        <i/>
        <vertAlign val="superscript"/>
        <sz val="9"/>
        <color theme="1"/>
        <rFont val="Arial"/>
        <family val="2"/>
      </rPr>
      <t>a)</t>
    </r>
    <r>
      <rPr>
        <i/>
        <sz val="9"/>
        <color theme="1"/>
        <rFont val="Arial"/>
        <family val="2"/>
      </rPr>
      <t xml:space="preserve"> OF SELECTED FOODSTUFFS PER CAPITA IN 
                 RETIREES’ AND PENSIONERS’ HOUSEHOLDS </t>
    </r>
  </si>
  <si>
    <r>
      <t xml:space="preserve">Artykuły żywnościowe
</t>
    </r>
    <r>
      <rPr>
        <i/>
        <sz val="9"/>
        <rFont val="Arial"/>
        <family val="2"/>
      </rPr>
      <t>Foodstuffs</t>
    </r>
  </si>
  <si>
    <r>
      <t xml:space="preserve">Jednostka miary 
</t>
    </r>
    <r>
      <rPr>
        <i/>
        <sz val="9"/>
        <rFont val="Arial"/>
        <family val="2"/>
      </rPr>
      <t>Unit of measure-ment</t>
    </r>
  </si>
  <si>
    <r>
      <t xml:space="preserve">ogółem
</t>
    </r>
    <r>
      <rPr>
        <i/>
        <sz val="9"/>
        <rFont val="Arial"/>
        <family val="2"/>
      </rPr>
      <t>in total</t>
    </r>
    <r>
      <rPr>
        <sz val="9"/>
        <rFont val="Arial"/>
        <family val="2"/>
      </rPr>
      <t xml:space="preserve">
</t>
    </r>
  </si>
  <si>
    <r>
      <t>Pieczywo</t>
    </r>
    <r>
      <rPr>
        <vertAlign val="superscript"/>
        <sz val="9"/>
        <color rgb="FF000000"/>
        <rFont val="Arial"/>
        <family val="2"/>
      </rPr>
      <t>b)</t>
    </r>
    <r>
      <rPr>
        <i/>
        <vertAlign val="superscript"/>
        <sz val="9"/>
        <color rgb="FF000000"/>
        <rFont val="Arial"/>
        <family val="2"/>
      </rPr>
      <t xml:space="preserve"> </t>
    </r>
    <r>
      <rPr>
        <i/>
        <sz val="9"/>
        <color rgb="FF000000"/>
        <rFont val="Arial"/>
        <family val="2"/>
      </rPr>
      <t>Bread</t>
    </r>
    <r>
      <rPr>
        <i/>
        <vertAlign val="superscript"/>
        <sz val="9"/>
        <color rgb="FF000000"/>
        <rFont val="Arial"/>
        <family val="2"/>
      </rPr>
      <t xml:space="preserve"> b)</t>
    </r>
    <r>
      <rPr>
        <vertAlign val="superscript"/>
        <sz val="9"/>
        <color rgb="FF000000"/>
        <rFont val="Arial"/>
        <family val="2"/>
      </rPr>
      <t xml:space="preserve"> </t>
    </r>
    <r>
      <rPr>
        <sz val="9"/>
        <color rgb="FF000000"/>
        <rFont val="Arial"/>
        <family val="2"/>
      </rPr>
      <t>…….……..…………..</t>
    </r>
  </si>
  <si>
    <r>
      <rPr>
        <sz val="9"/>
        <color rgb="FF000000"/>
        <rFont val="Arial"/>
        <family val="2"/>
      </rPr>
      <t>Mąka</t>
    </r>
    <r>
      <rPr>
        <vertAlign val="superscript"/>
        <sz val="9"/>
        <color rgb="FF000000"/>
        <rFont val="Arial"/>
        <family val="2"/>
      </rPr>
      <t xml:space="preserve">c) </t>
    </r>
    <r>
      <rPr>
        <i/>
        <sz val="9"/>
        <color rgb="FF000000"/>
        <rFont val="Arial"/>
        <family val="2"/>
      </rPr>
      <t xml:space="preserve">Flour </t>
    </r>
    <r>
      <rPr>
        <i/>
        <vertAlign val="superscript"/>
        <sz val="9"/>
        <color rgb="FF000000"/>
        <rFont val="Arial"/>
        <family val="2"/>
      </rPr>
      <t>c)</t>
    </r>
    <r>
      <rPr>
        <i/>
        <sz val="9"/>
        <color rgb="FF000000"/>
        <rFont val="Arial"/>
        <family val="2"/>
      </rPr>
      <t>…..………..…...…………..…</t>
    </r>
  </si>
  <si>
    <r>
      <t xml:space="preserve">Mięso </t>
    </r>
    <r>
      <rPr>
        <vertAlign val="superscript"/>
        <sz val="9"/>
        <color rgb="FF000000"/>
        <rFont val="Arial"/>
        <family val="2"/>
      </rPr>
      <t>d)</t>
    </r>
    <r>
      <rPr>
        <sz val="9"/>
        <color rgb="FF000000"/>
        <rFont val="Arial"/>
        <family val="2"/>
      </rPr>
      <t xml:space="preserve"> Meat </t>
    </r>
    <r>
      <rPr>
        <vertAlign val="superscript"/>
        <sz val="9"/>
        <color rgb="FF000000"/>
        <rFont val="Arial"/>
        <family val="2"/>
      </rPr>
      <t>d)</t>
    </r>
    <r>
      <rPr>
        <sz val="9"/>
        <color rgb="FF000000"/>
        <rFont val="Arial"/>
        <family val="2"/>
      </rPr>
      <t xml:space="preserve"> …..…..………..…………..</t>
    </r>
  </si>
  <si>
    <r>
      <t xml:space="preserve">   </t>
    </r>
    <r>
      <rPr>
        <sz val="9"/>
        <color rgb="FF000000"/>
        <rFont val="Arial"/>
        <family val="2"/>
      </rPr>
      <t>w tym:</t>
    </r>
    <r>
      <rPr>
        <i/>
        <sz val="9"/>
        <color rgb="FF000000"/>
        <rFont val="Arial"/>
        <family val="2"/>
      </rPr>
      <t xml:space="preserve"> of which:</t>
    </r>
  </si>
  <si>
    <r>
      <t xml:space="preserve">   mięso surowe</t>
    </r>
    <r>
      <rPr>
        <vertAlign val="superscript"/>
        <sz val="9"/>
        <color rgb="FF000000"/>
        <rFont val="Arial"/>
        <family val="2"/>
      </rPr>
      <t>d)</t>
    </r>
    <r>
      <rPr>
        <i/>
        <sz val="9"/>
        <color rgb="FF000000"/>
        <rFont val="Arial"/>
        <family val="2"/>
      </rPr>
      <t xml:space="preserve"> raw meat </t>
    </r>
    <r>
      <rPr>
        <i/>
        <vertAlign val="superscript"/>
        <sz val="9"/>
        <color rgb="FF000000"/>
        <rFont val="Arial"/>
        <family val="2"/>
      </rPr>
      <t>d)</t>
    </r>
    <r>
      <rPr>
        <sz val="9"/>
        <color rgb="FF000000"/>
        <rFont val="Arial"/>
        <family val="2"/>
      </rPr>
      <t xml:space="preserve"> …..….…….</t>
    </r>
  </si>
  <si>
    <r>
      <t xml:space="preserve">     w tym drób</t>
    </r>
    <r>
      <rPr>
        <i/>
        <sz val="9"/>
        <color rgb="FF000000"/>
        <rFont val="Arial"/>
        <family val="2"/>
      </rPr>
      <t xml:space="preserve"> </t>
    </r>
  </si>
  <si>
    <r>
      <t xml:space="preserve">   wędliny i inne przetwory mięsne</t>
    </r>
    <r>
      <rPr>
        <vertAlign val="superscript"/>
        <sz val="9"/>
        <color rgb="FF000000"/>
        <rFont val="Arial"/>
        <family val="2"/>
      </rPr>
      <t xml:space="preserve">e) </t>
    </r>
    <r>
      <rPr>
        <sz val="9"/>
        <color rgb="FF000000"/>
        <rFont val="Arial"/>
        <family val="2"/>
      </rPr>
      <t>…..……</t>
    </r>
    <r>
      <rPr>
        <vertAlign val="superscript"/>
        <sz val="9"/>
        <color rgb="FF000000"/>
        <rFont val="Arial"/>
        <family val="2"/>
      </rPr>
      <t xml:space="preserve">  </t>
    </r>
  </si>
  <si>
    <r>
      <t xml:space="preserve">   processed meat and other meat 
   preparations</t>
    </r>
    <r>
      <rPr>
        <i/>
        <vertAlign val="superscript"/>
        <sz val="9"/>
        <color rgb="FF000000"/>
        <rFont val="Arial"/>
        <family val="2"/>
      </rPr>
      <t>e)</t>
    </r>
  </si>
  <si>
    <r>
      <t>Ryby i owoce morza</t>
    </r>
    <r>
      <rPr>
        <vertAlign val="superscript"/>
        <sz val="9"/>
        <color theme="1"/>
        <rFont val="Arial"/>
        <family val="2"/>
      </rPr>
      <t>f)</t>
    </r>
    <r>
      <rPr>
        <sz val="9"/>
        <color theme="1"/>
        <rFont val="Arial"/>
        <family val="2"/>
      </rPr>
      <t xml:space="preserve"> </t>
    </r>
    <r>
      <rPr>
        <i/>
        <sz val="9"/>
        <color theme="1"/>
        <rFont val="Arial"/>
        <family val="2"/>
      </rPr>
      <t>Fish and seafood</t>
    </r>
    <r>
      <rPr>
        <i/>
        <vertAlign val="superscript"/>
        <sz val="9"/>
        <color theme="1"/>
        <rFont val="Arial"/>
        <family val="2"/>
      </rPr>
      <t xml:space="preserve"> f)</t>
    </r>
    <r>
      <rPr>
        <vertAlign val="superscript"/>
        <sz val="9"/>
        <color theme="1"/>
        <rFont val="Arial"/>
        <family val="2"/>
      </rPr>
      <t xml:space="preserve"> </t>
    </r>
    <r>
      <rPr>
        <sz val="9"/>
        <color theme="1"/>
        <rFont val="Arial"/>
        <family val="2"/>
      </rPr>
      <t>…</t>
    </r>
  </si>
  <si>
    <r>
      <t>Mleko</t>
    </r>
    <r>
      <rPr>
        <i/>
        <vertAlign val="superscript"/>
        <sz val="9"/>
        <color theme="1"/>
        <rFont val="Arial"/>
        <family val="2"/>
      </rPr>
      <t xml:space="preserve">g) </t>
    </r>
    <r>
      <rPr>
        <i/>
        <sz val="9"/>
        <color theme="1"/>
        <rFont val="Arial"/>
        <family val="2"/>
      </rPr>
      <t>Milk</t>
    </r>
    <r>
      <rPr>
        <i/>
        <vertAlign val="superscript"/>
        <sz val="9"/>
        <color theme="1"/>
        <rFont val="Arial"/>
        <family val="2"/>
      </rPr>
      <t>g)</t>
    </r>
    <r>
      <rPr>
        <i/>
        <sz val="9"/>
        <color theme="1"/>
        <rFont val="Arial"/>
        <family val="2"/>
      </rPr>
      <t>…..…..………..…………..…</t>
    </r>
  </si>
  <si>
    <r>
      <t>Sery i twarogi</t>
    </r>
    <r>
      <rPr>
        <vertAlign val="superscript"/>
        <sz val="9"/>
        <color theme="1"/>
        <rFont val="Arial"/>
        <family val="2"/>
      </rPr>
      <t>h)</t>
    </r>
    <r>
      <rPr>
        <i/>
        <sz val="9"/>
        <color theme="1"/>
        <rFont val="Arial"/>
        <family val="2"/>
      </rPr>
      <t xml:space="preserve"> Cheese and curd </t>
    </r>
    <r>
      <rPr>
        <i/>
        <vertAlign val="superscript"/>
        <sz val="9"/>
        <color theme="1"/>
        <rFont val="Arial"/>
        <family val="2"/>
      </rPr>
      <t xml:space="preserve">h) </t>
    </r>
    <r>
      <rPr>
        <sz val="9"/>
        <color theme="1"/>
        <rFont val="Arial"/>
        <family val="2"/>
      </rPr>
      <t>…...…..</t>
    </r>
  </si>
  <si>
    <r>
      <t>Śmietana</t>
    </r>
    <r>
      <rPr>
        <i/>
        <sz val="9"/>
        <color theme="1"/>
        <rFont val="Arial"/>
        <family val="2"/>
      </rPr>
      <t xml:space="preserve"> </t>
    </r>
  </si>
  <si>
    <r>
      <rPr>
        <sz val="9"/>
        <color theme="1"/>
        <rFont val="Arial"/>
        <family val="2"/>
      </rPr>
      <t>Oleje i tłuszcze</t>
    </r>
    <r>
      <rPr>
        <vertAlign val="superscript"/>
        <sz val="9"/>
        <color theme="1"/>
        <rFont val="Arial"/>
        <family val="2"/>
      </rPr>
      <t>i)</t>
    </r>
    <r>
      <rPr>
        <sz val="9"/>
        <color theme="1"/>
        <rFont val="Arial"/>
        <family val="2"/>
      </rPr>
      <t xml:space="preserve"> </t>
    </r>
    <r>
      <rPr>
        <i/>
        <sz val="9"/>
        <color theme="1"/>
        <rFont val="Arial"/>
        <family val="2"/>
      </rPr>
      <t>Oil and fats</t>
    </r>
    <r>
      <rPr>
        <i/>
        <vertAlign val="superscript"/>
        <sz val="9"/>
        <color theme="1"/>
        <rFont val="Arial"/>
        <family val="2"/>
      </rPr>
      <t xml:space="preserve">i) </t>
    </r>
    <r>
      <rPr>
        <i/>
        <sz val="9"/>
        <color theme="1"/>
        <rFont val="Arial"/>
        <family val="2"/>
      </rPr>
      <t xml:space="preserve">……………... </t>
    </r>
  </si>
  <si>
    <r>
      <t xml:space="preserve">      </t>
    </r>
    <r>
      <rPr>
        <sz val="9"/>
        <color theme="1"/>
        <rFont val="Arial"/>
        <family val="2"/>
      </rPr>
      <t>w tym masło</t>
    </r>
    <r>
      <rPr>
        <i/>
        <sz val="9"/>
        <color theme="1"/>
        <rFont val="Arial"/>
        <family val="2"/>
      </rPr>
      <t xml:space="preserve"> </t>
    </r>
  </si>
  <si>
    <r>
      <rPr>
        <sz val="9"/>
        <color theme="1"/>
        <rFont val="Arial"/>
        <family val="2"/>
      </rPr>
      <t xml:space="preserve">Owoce </t>
    </r>
  </si>
  <si>
    <r>
      <t xml:space="preserve">   </t>
    </r>
    <r>
      <rPr>
        <sz val="9"/>
        <color theme="1"/>
        <rFont val="Arial"/>
        <family val="2"/>
      </rPr>
      <t>w tym ziemniaki</t>
    </r>
  </si>
  <si>
    <r>
      <t>TABL.46. WYPOSAŻENIE GOSPODARSTW DOMOWYCH EMERYTÓW I RENCISTÓW W NIEKTÓRE
                   PRZEDMIOTY TRWAŁEGO UŻYTKOWANIA</t>
    </r>
    <r>
      <rPr>
        <b/>
        <vertAlign val="superscript"/>
        <sz val="9"/>
        <color theme="1"/>
        <rFont val="Arial"/>
        <family val="2"/>
      </rPr>
      <t>a)</t>
    </r>
    <r>
      <rPr>
        <b/>
        <sz val="9"/>
        <color theme="1"/>
        <rFont val="Arial"/>
        <family val="2"/>
      </rPr>
      <t xml:space="preserve"> </t>
    </r>
  </si>
  <si>
    <r>
      <t xml:space="preserve">                   EQUIPMENT WITH SELECTED DURABLE GOODS</t>
    </r>
    <r>
      <rPr>
        <i/>
        <vertAlign val="superscript"/>
        <sz val="9"/>
        <color theme="1"/>
        <rFont val="Arial"/>
        <family val="2"/>
      </rPr>
      <t xml:space="preserve">a) </t>
    </r>
    <r>
      <rPr>
        <i/>
        <sz val="9"/>
        <color theme="1"/>
        <rFont val="Arial"/>
        <family val="2"/>
      </rPr>
      <t xml:space="preserve">IN RETIREES’ AND PENSIONERS’ 
                   HOUSEHOLDS </t>
    </r>
  </si>
  <si>
    <r>
      <t xml:space="preserve">w % gospodarstw wyposażonych w dane dobro
</t>
    </r>
    <r>
      <rPr>
        <i/>
        <sz val="9"/>
        <color rgb="FF000000"/>
        <rFont val="Arial"/>
        <family val="2"/>
      </rPr>
      <t>in % of housholds equiped in particular durable</t>
    </r>
  </si>
  <si>
    <r>
      <t>TABL.47. WYPOSAŻENIE GOSPODARSTW DOMOWYCH EMERYTÓW I RENCISTÓW W NIEKTÓRE
                  PRZEDMIOTY TRWAŁEGO UŻYTKOWANIA</t>
    </r>
    <r>
      <rPr>
        <b/>
        <vertAlign val="superscript"/>
        <sz val="9"/>
        <color theme="1"/>
        <rFont val="Arial"/>
        <family val="2"/>
      </rPr>
      <t>a)</t>
    </r>
    <r>
      <rPr>
        <b/>
        <sz val="9"/>
        <color theme="1"/>
        <rFont val="Arial"/>
        <family val="2"/>
      </rPr>
      <t xml:space="preserve"> W 2017 R. W PORÓWNANIU DO 2016 R.
                  (2016 R. = 100)</t>
    </r>
  </si>
  <si>
    <r>
      <t xml:space="preserve">                   EQUIPMENT WITH SELECTED DURABLE GOODS</t>
    </r>
    <r>
      <rPr>
        <i/>
        <vertAlign val="superscript"/>
        <sz val="9"/>
        <color theme="1"/>
        <rFont val="Arial"/>
        <family val="2"/>
      </rPr>
      <t xml:space="preserve">a) </t>
    </r>
    <r>
      <rPr>
        <i/>
        <sz val="9"/>
        <color theme="1"/>
        <rFont val="Arial"/>
        <family val="2"/>
      </rPr>
      <t>IN RETIREES’ AND PENSIONERS’ 
                   HOUSEHOLDS IN 2017 COMPARED WITH 2016 (2016=100)</t>
    </r>
  </si>
  <si>
    <r>
      <t xml:space="preserve">Wyposażenie mieszkań w:
</t>
    </r>
    <r>
      <rPr>
        <i/>
        <sz val="9"/>
        <rFont val="Arial"/>
        <family val="2"/>
      </rPr>
      <t>Dwellings  equipped with:</t>
    </r>
  </si>
  <si>
    <r>
      <t xml:space="preserve">w %   </t>
    </r>
    <r>
      <rPr>
        <i/>
        <sz val="9"/>
        <color rgb="FF000000"/>
        <rFont val="Arial"/>
        <family val="2"/>
      </rPr>
      <t>In %</t>
    </r>
  </si>
  <si>
    <r>
      <t xml:space="preserve">Użytkowane mieszkanie 
</t>
    </r>
    <r>
      <rPr>
        <i/>
        <sz val="9"/>
        <rFont val="Arial"/>
        <family val="2"/>
      </rPr>
      <t>Dwelling</t>
    </r>
  </si>
  <si>
    <r>
      <t xml:space="preserve">% odpowiedzi tak  </t>
    </r>
    <r>
      <rPr>
        <i/>
        <sz val="9"/>
        <color rgb="FF000000"/>
        <rFont val="Arial"/>
        <family val="2"/>
      </rPr>
      <t>% of „yes” answers</t>
    </r>
  </si>
  <si>
    <r>
      <t xml:space="preserve">Sytuacja materialna jest
</t>
    </r>
    <r>
      <rPr>
        <i/>
        <sz val="9"/>
        <rFont val="Arial"/>
        <family val="2"/>
      </rPr>
      <t>Material  situation is</t>
    </r>
    <r>
      <rPr>
        <sz val="9"/>
        <rFont val="Arial"/>
        <family val="2"/>
      </rPr>
      <t xml:space="preserve">
</t>
    </r>
  </si>
  <si>
    <r>
      <t xml:space="preserve">% gospodarstw domowych oceniających swoją sytuację
</t>
    </r>
    <r>
      <rPr>
        <i/>
        <sz val="9"/>
        <color rgb="FF000000"/>
        <rFont val="Arial"/>
        <family val="2"/>
      </rPr>
      <t>% households assessing their situation</t>
    </r>
  </si>
  <si>
    <t>Makroregion Centralny</t>
  </si>
  <si>
    <t>Makroregion Południowy</t>
  </si>
  <si>
    <t>Makroregion Wschodni</t>
  </si>
  <si>
    <t>Makroregion Północno-zachodni</t>
  </si>
  <si>
    <t>Makroregion Południowo-zachodni</t>
  </si>
  <si>
    <t>Makroregion Północny</t>
  </si>
  <si>
    <t>Makroregion Wojewodztwo Mazowieckie</t>
  </si>
  <si>
    <r>
      <t>TABL. 5. PRZECIĘTNA MIESIĘCZNA LICZBA EMERYTÓW I RENCISTÓW Z ZAKŁADU UBEZPIECZEŃ
                  SPOŁECZNYCH WEDŁUG MAKROREGIONÓW</t>
    </r>
    <r>
      <rPr>
        <b/>
        <vertAlign val="superscript"/>
        <sz val="9"/>
        <color theme="1"/>
        <rFont val="Arial"/>
        <family val="2"/>
      </rPr>
      <t>a)</t>
    </r>
    <r>
      <rPr>
        <b/>
        <sz val="9"/>
        <color theme="1"/>
        <rFont val="Arial"/>
        <family val="2"/>
      </rPr>
      <t xml:space="preserve"> </t>
    </r>
  </si>
  <si>
    <t xml:space="preserve">Makroregion Centralny   </t>
  </si>
  <si>
    <t xml:space="preserve">Makroregion Wschodni </t>
  </si>
  <si>
    <t xml:space="preserve">Makroregion Północno-zachodni  </t>
  </si>
  <si>
    <t xml:space="preserve">Makroregion Południowo-zachodni  </t>
  </si>
  <si>
    <t xml:space="preserve">Makroregion Północny  </t>
  </si>
  <si>
    <t>Makroregion Województwo Mazowieckie</t>
  </si>
  <si>
    <t xml:space="preserve">Maroregion Województwo Mazowieckie </t>
  </si>
  <si>
    <t xml:space="preserve">TABL.9. PRZECIĘTNA MIESIĘCZNA LICZBA EMERYTÓW I RENCISTÓW Z KASY ROLNICZEGO
                UBEZPIECZENIA SPOŁECZNEGO WEDŁUG MAKROREGIONÓW </t>
  </si>
  <si>
    <r>
      <t>TABL.30. PRZECIĘTNA MIESIĘCZNA EMERYTURA I RENTA BRUTTO</t>
    </r>
    <r>
      <rPr>
        <b/>
        <vertAlign val="superscript"/>
        <sz val="9"/>
        <color theme="1"/>
        <rFont val="Arial"/>
        <family val="2"/>
      </rPr>
      <t>a)</t>
    </r>
    <r>
      <rPr>
        <b/>
        <sz val="9"/>
        <color theme="1"/>
        <rFont val="Arial"/>
        <family val="2"/>
      </rPr>
      <t xml:space="preserve"> Z ZAKŁADU UBEZPIECZEŃ
                  SPOŁECZNYCH WEDŁUG MAKROREGIONÓW</t>
    </r>
    <r>
      <rPr>
        <b/>
        <vertAlign val="superscript"/>
        <sz val="9"/>
        <color theme="1"/>
        <rFont val="Arial"/>
        <family val="2"/>
      </rPr>
      <t xml:space="preserve">b) </t>
    </r>
  </si>
  <si>
    <r>
      <t xml:space="preserve">                 MONTHLY AVERAGE GROSS</t>
    </r>
    <r>
      <rPr>
        <i/>
        <vertAlign val="superscript"/>
        <sz val="9"/>
        <color theme="1"/>
        <rFont val="Arial"/>
        <family val="2"/>
      </rPr>
      <t>a)</t>
    </r>
    <r>
      <rPr>
        <i/>
        <sz val="9"/>
        <color theme="1"/>
        <rFont val="Arial"/>
        <family val="2"/>
      </rPr>
      <t xml:space="preserve"> RETIREMENT AND OTHER PENSION FROM THE SOCIAL
                 INSURANCE INSTITUTION BY MACROREGIONS</t>
    </r>
    <r>
      <rPr>
        <i/>
        <vertAlign val="superscript"/>
        <sz val="9"/>
        <color theme="1"/>
        <rFont val="Arial"/>
        <family val="2"/>
      </rPr>
      <t xml:space="preserve">b) </t>
    </r>
  </si>
  <si>
    <r>
      <t>TABL.34. PRZECIĘTNA MIESIĘCZNA EMERYTURA I RENTA BRUTTO</t>
    </r>
    <r>
      <rPr>
        <b/>
        <vertAlign val="superscript"/>
        <sz val="9"/>
        <color theme="1"/>
        <rFont val="Arial"/>
        <family val="2"/>
      </rPr>
      <t>a)</t>
    </r>
    <r>
      <rPr>
        <b/>
        <sz val="9"/>
        <color theme="1"/>
        <rFont val="Arial"/>
        <family val="2"/>
      </rPr>
      <t xml:space="preserve"> Z KASY ROLNICZEGO
                   UBEZPIECZENIA SPOŁECZNEGO WEDŁUG MAKROREGIONÓW</t>
    </r>
    <r>
      <rPr>
        <b/>
        <vertAlign val="superscript"/>
        <sz val="9"/>
        <color theme="1"/>
        <rFont val="Arial"/>
        <family val="2"/>
      </rPr>
      <t>b)c)</t>
    </r>
  </si>
  <si>
    <r>
      <t xml:space="preserve">                  MONTHLY AVERAGE GROSS</t>
    </r>
    <r>
      <rPr>
        <i/>
        <vertAlign val="superscript"/>
        <sz val="9"/>
        <color theme="1"/>
        <rFont val="Arial"/>
        <family val="2"/>
      </rPr>
      <t>a)</t>
    </r>
    <r>
      <rPr>
        <i/>
        <sz val="9"/>
        <color theme="1"/>
        <rFont val="Arial"/>
        <family val="2"/>
      </rPr>
      <t xml:space="preserve"> RETIREMENT AND OTHER PENSION FROM THE AGRICULTURAL
                  SOCIAL INSURANCE FUND BY MACROREGIONS</t>
    </r>
    <r>
      <rPr>
        <i/>
        <vertAlign val="superscript"/>
        <sz val="9"/>
        <color theme="1"/>
        <rFont val="Arial"/>
        <family val="2"/>
      </rPr>
      <t xml:space="preserve">b)c) </t>
    </r>
  </si>
  <si>
    <r>
      <t>TABL. 5. PRZECIĘTNA MIESIĘCZNA LICZBA EMERYTÓW I RENCISTÓW Z ZAKŁADU UBEZPIECZEŃ SPOŁECZNYCH WEDŁUG MAKROREGIONÓW</t>
    </r>
    <r>
      <rPr>
        <b/>
        <sz val="9"/>
        <color theme="1"/>
        <rFont val="Arial"/>
        <family val="2"/>
      </rPr>
      <t xml:space="preserve"> </t>
    </r>
  </si>
  <si>
    <t xml:space="preserve">                 MONTHLY AVERAGE NUMBER OF RETIREES AND PENSIONERS FROM THE SOCIAL INSURANCE INSTITUTION BY MACROREGIONS</t>
  </si>
  <si>
    <t xml:space="preserve">TABL.9. PRZECIĘTNA MIESIĘCZNA LICZBA EMERYTÓW I RENCISTÓW Z KASY ROLNICZEGO UBEZPIECZENIA SPOŁECZNEGO WEDŁUG MAKROREGIONÓW </t>
  </si>
  <si>
    <r>
      <t>TABL. 2. PRZECIĘTNA MIESIĘCZNA LICZBA EMERYTÓW I RENCISTÓW Z ZAKŁADU UBEZPIECZEŃ SPOŁECZNYCH WEDŁUG WOJEWÓDZTW</t>
    </r>
    <r>
      <rPr>
        <b/>
        <vertAlign val="superscript"/>
        <sz val="9"/>
        <color theme="1"/>
        <rFont val="Arial"/>
        <family val="2"/>
      </rPr>
      <t xml:space="preserve"> </t>
    </r>
  </si>
  <si>
    <t xml:space="preserve">                MONTHLY AVERAGE NUMBER OF RETIREES AND PENSIONERS FROM THE SOCIAL INSURANCE INSTITUTION BY VOIVODSHIPS</t>
  </si>
  <si>
    <r>
      <t>TABL. 3. PRZECIĘTNA MIESIĘCZNA LICZBA RENCISTÓW Z ZAKŁADU UBEZPIECZEŃ SPOŁECZNYCH WEDŁUG WOJEWÓDZTW</t>
    </r>
    <r>
      <rPr>
        <b/>
        <vertAlign val="superscript"/>
        <sz val="9"/>
        <color theme="1"/>
        <rFont val="Arial"/>
        <family val="2"/>
      </rPr>
      <t xml:space="preserve"> </t>
    </r>
  </si>
  <si>
    <r>
      <t xml:space="preserve">                MONTHLY AVERAGE NUMBER OF RETIREES AND PENSIONERS FROM TTHE AGRICULTURAL SOCIAL INSURANCE FUND BY MAKROREGIONS</t>
    </r>
    <r>
      <rPr>
        <i/>
        <vertAlign val="superscript"/>
        <sz val="9"/>
        <color theme="1"/>
        <rFont val="Arial"/>
        <family val="2"/>
      </rPr>
      <t xml:space="preserve"> </t>
    </r>
  </si>
  <si>
    <r>
      <t>TABL. 11. PRZECIĘTNA MIESIĘCZNA LICZBA EMERYTÓW I RENCISTÓW Z POZAROLNICZEGO SYSTEMU UBEZPIECZEŃ WEDŁUG ZAWODÓW</t>
    </r>
    <r>
      <rPr>
        <b/>
        <vertAlign val="superscript"/>
        <sz val="9"/>
        <color theme="1"/>
        <rFont val="Arial"/>
        <family val="2"/>
      </rPr>
      <t xml:space="preserve"> </t>
    </r>
  </si>
  <si>
    <r>
      <t xml:space="preserve">                   MONTHLY AVERAGE NUMBER OF RETIREES AND PENSIONERS FROM THE NON-AGRICULTURAL SOCIAL SECURITY SYSTEM BY OCCUPATION</t>
    </r>
    <r>
      <rPr>
        <i/>
        <vertAlign val="superscript"/>
        <sz val="9"/>
        <color theme="1"/>
        <rFont val="Arial"/>
        <family val="2"/>
      </rPr>
      <t xml:space="preserve"> </t>
    </r>
  </si>
  <si>
    <r>
      <t>TABL.13. OSOBY POBIERAJĄCE EMERYTURY I RENTY Z TYTUŁU NIEZDOLNOŚCI DO PRACY Z ZAKŁADU UBEZPIECZEŃ SPOŁECZNYCH</t>
    </r>
    <r>
      <rPr>
        <b/>
        <vertAlign val="superscript"/>
        <sz val="9"/>
        <color theme="1"/>
        <rFont val="Arial"/>
        <family val="2"/>
      </rPr>
      <t xml:space="preserve"> </t>
    </r>
    <r>
      <rPr>
        <b/>
        <sz val="9"/>
        <color theme="1"/>
        <rFont val="Arial"/>
        <family val="2"/>
      </rPr>
      <t xml:space="preserve">WEDŁUG PŁCI I WIEKU </t>
    </r>
  </si>
  <si>
    <r>
      <t xml:space="preserve">                  PERSONS RECEIVING RETIREMENT AND DISABILITY PENSIONS FROM THE SOCIAL INSURANCE INSTITUTION</t>
    </r>
    <r>
      <rPr>
        <i/>
        <vertAlign val="superscript"/>
        <sz val="9"/>
        <color theme="1"/>
        <rFont val="Arial"/>
        <family val="2"/>
      </rPr>
      <t xml:space="preserve"> </t>
    </r>
    <r>
      <rPr>
        <i/>
        <sz val="9"/>
        <color theme="1"/>
        <rFont val="Arial"/>
        <family val="2"/>
      </rPr>
      <t xml:space="preserve">BY SEX AND AGE </t>
    </r>
  </si>
  <si>
    <t>TABL.14. OSOBY POBIERAJĄCE EMERYTURY I RENTY Z TYTUŁU NIEZDOLNOŚCI DO PRACY WYPŁACANE PRZEZ KASĘ ROLNICZEGO UBEZPIECZENIA SPOŁECZNEGO WEDŁUG PŁCI I WIEKU</t>
  </si>
  <si>
    <r>
      <t xml:space="preserve">                  PERSONS RECEIVING RETIREMENT AND DISABILITY PENSIONS PAID FROM THE AGRICULTURAL SOCIAL INSURANCE FUND BY SEX AND AGE</t>
    </r>
    <r>
      <rPr>
        <i/>
        <vertAlign val="superscript"/>
        <sz val="9"/>
        <color theme="1"/>
        <rFont val="Arial"/>
        <family val="2"/>
      </rPr>
      <t xml:space="preserve"> </t>
    </r>
    <r>
      <rPr>
        <i/>
        <sz val="9"/>
        <color theme="1"/>
        <rFont val="Arial"/>
        <family val="2"/>
      </rPr>
      <t xml:space="preserve">  </t>
    </r>
  </si>
  <si>
    <r>
      <t xml:space="preserve">                   PERSONS RECEIVING RETIREMENT AND DISABILITY PENSIONS PAID</t>
    </r>
    <r>
      <rPr>
        <i/>
        <vertAlign val="superscript"/>
        <sz val="9"/>
        <color theme="1"/>
        <rFont val="Arial"/>
        <family val="2"/>
      </rPr>
      <t xml:space="preserve"> </t>
    </r>
    <r>
      <rPr>
        <i/>
        <sz val="9"/>
        <color theme="1"/>
        <rFont val="Arial"/>
        <family val="2"/>
      </rPr>
      <t xml:space="preserve">FROM THE MINISTRY OF NATIONAL DEFENCE BY SEX AND AGE  </t>
    </r>
  </si>
  <si>
    <r>
      <t>TABL.15. OSOBY POBIERAJĄCE EMERYTURY</t>
    </r>
    <r>
      <rPr>
        <b/>
        <sz val="9"/>
        <color theme="1"/>
        <rFont val="Arial"/>
        <family val="2"/>
      </rPr>
      <t xml:space="preserve"> I RENTY Z TYTUŁU NIEZDOLNOŚCI DO PRACY WYPŁACANE PRZEZ MINISTERSTWO OBRONY NARODOWEJ WEDŁUG PŁCI I WIEKU </t>
    </r>
  </si>
  <si>
    <r>
      <t>TABL. 18.  EMERYTURY I RENTY BRUTTO</t>
    </r>
    <r>
      <rPr>
        <b/>
        <sz val="9"/>
        <color theme="1"/>
        <rFont val="Arial"/>
        <family val="2"/>
      </rPr>
      <t xml:space="preserve"> WEDŁUG INSTYTUCJI WYPŁACAJĄCYCH</t>
    </r>
  </si>
  <si>
    <r>
      <t xml:space="preserve">                    GROSS</t>
    </r>
    <r>
      <rPr>
        <i/>
        <sz val="9"/>
        <color theme="1"/>
        <rFont val="Arial"/>
        <family val="2"/>
      </rPr>
      <t xml:space="preserve"> RETIREMENT AND OTHER PENSIONS BY INSTITUTIONS</t>
    </r>
  </si>
  <si>
    <r>
      <t>TABL. 19. EMERYTURY I RENTY BRUTTO</t>
    </r>
    <r>
      <rPr>
        <b/>
        <sz val="9"/>
        <color theme="1"/>
        <rFont val="Arial"/>
        <family val="2"/>
      </rPr>
      <t xml:space="preserve"> Z ZAKŁADU UBEZPIECZEŃ SPOŁECZNYCH WEDŁUG WOJEWÓDZTW </t>
    </r>
  </si>
  <si>
    <r>
      <t>TABL. 20. RENTY BRUTTO</t>
    </r>
    <r>
      <rPr>
        <b/>
        <sz val="9"/>
        <color theme="1"/>
        <rFont val="Arial"/>
        <family val="2"/>
      </rPr>
      <t xml:space="preserve"> Z ZAKŁADU UBEZPIECZEŃ SPOŁECZNYCH WEDŁUG WOJEWÓDZTW  </t>
    </r>
  </si>
  <si>
    <r>
      <t xml:space="preserve">                   GROSS</t>
    </r>
    <r>
      <rPr>
        <i/>
        <sz val="9"/>
        <color theme="1"/>
        <rFont val="Arial"/>
        <family val="2"/>
      </rPr>
      <t xml:space="preserve"> RETIREMENT AND OTHER PENSIONS FROM THE SOCIAL INSURANCE INSTITUTION BY VOIVODSHIPS </t>
    </r>
  </si>
  <si>
    <r>
      <t>TABL. 21. EMERYTURY I RENTY BRUTTO</t>
    </r>
    <r>
      <rPr>
        <b/>
        <sz val="9"/>
        <color theme="1"/>
        <rFont val="Arial"/>
        <family val="2"/>
      </rPr>
      <t xml:space="preserve"> Z KASY ROLNICZEGO UBEZPIECZENIA SPOŁECZNEGO WEDŁUG WOJEWÓDZTW</t>
    </r>
  </si>
  <si>
    <r>
      <t xml:space="preserve">                    GROSS</t>
    </r>
    <r>
      <rPr>
        <i/>
        <vertAlign val="superscript"/>
        <sz val="9"/>
        <color theme="1"/>
        <rFont val="Arial"/>
        <family val="2"/>
      </rPr>
      <t xml:space="preserve"> </t>
    </r>
    <r>
      <rPr>
        <i/>
        <sz val="9"/>
        <color theme="1"/>
        <rFont val="Arial"/>
        <family val="2"/>
      </rPr>
      <t xml:space="preserve">PENSIONS FROM THE SOCIAL INSURANCE INSTITUTION BY VOIVODSHIPS </t>
    </r>
  </si>
  <si>
    <r>
      <t xml:space="preserve">                   GROSS</t>
    </r>
    <r>
      <rPr>
        <i/>
        <vertAlign val="superscript"/>
        <sz val="9"/>
        <color theme="1"/>
        <rFont val="Arial"/>
        <family val="2"/>
      </rPr>
      <t xml:space="preserve"> </t>
    </r>
    <r>
      <rPr>
        <i/>
        <sz val="9"/>
        <color theme="1"/>
        <rFont val="Arial"/>
        <family val="2"/>
      </rPr>
      <t>RETIREMENT AND OTHER PENSIONS FROM THE AGRICULTURAL SOCIAL INSURANCE FUND BY VOIVODSHIPS</t>
    </r>
  </si>
  <si>
    <r>
      <t>TABL. 22. RENTY BRUTTO</t>
    </r>
    <r>
      <rPr>
        <b/>
        <sz val="9"/>
        <color theme="1"/>
        <rFont val="Arial"/>
        <family val="2"/>
      </rPr>
      <t xml:space="preserve"> Z KASY ROLNICZEGO UBEZPIECZENIA SPOŁECZNEGO WEDŁUG WOJEWÓDZTW</t>
    </r>
    <r>
      <rPr>
        <b/>
        <sz val="9"/>
        <color theme="1"/>
        <rFont val="Arial"/>
        <family val="2"/>
      </rPr>
      <t xml:space="preserve"> </t>
    </r>
  </si>
  <si>
    <r>
      <t xml:space="preserve">                    GROSS</t>
    </r>
    <r>
      <rPr>
        <i/>
        <vertAlign val="superscript"/>
        <sz val="9"/>
        <color theme="1"/>
        <rFont val="Arial"/>
        <family val="2"/>
      </rPr>
      <t xml:space="preserve"> </t>
    </r>
    <r>
      <rPr>
        <i/>
        <sz val="9"/>
        <color theme="1"/>
        <rFont val="Arial"/>
        <family val="2"/>
      </rPr>
      <t>PENSIONS FROM THE AGRICULTURAL SOCIAL INSURANCE FUND BY VOIVODSHIPS</t>
    </r>
  </si>
  <si>
    <r>
      <t>TABL.23. EMERYTURY I RENTY BRUTTO</t>
    </r>
    <r>
      <rPr>
        <b/>
        <sz val="9"/>
        <color theme="1"/>
        <rFont val="Arial"/>
        <family val="2"/>
      </rPr>
      <t xml:space="preserve"> Z MINISTERSTWA OBRONY NARODOWEJ, MINISTERSTWA SPRAWIEDLIWOŚCI I MINISTERSTWA SPRAW WEWNĘTRZNYCH I ADMINISTRACJI</t>
    </r>
  </si>
  <si>
    <r>
      <t xml:space="preserve">                 GROSS</t>
    </r>
    <r>
      <rPr>
        <i/>
        <sz val="9"/>
        <color theme="1"/>
        <rFont val="Arial"/>
        <family val="2"/>
      </rPr>
      <t xml:space="preserve"> RETIREMENT AND OTHER PENSIONS FROM THE MINISTRY OF NATIONAL DEFENCE, THE MINISTRY OF JUSTICE AND THE MINISTRY OF INTERIOR AND ADMINISTRATION</t>
    </r>
  </si>
  <si>
    <r>
      <t>TABL.24. LICZBA EMERYTÓW Z ZAKŁADU UBEZPIECZEŃ SPOŁECZNYCH</t>
    </r>
    <r>
      <rPr>
        <b/>
        <vertAlign val="superscript"/>
        <sz val="9"/>
        <color theme="1"/>
        <rFont val="Arial"/>
        <family val="2"/>
      </rPr>
      <t xml:space="preserve"> </t>
    </r>
    <r>
      <rPr>
        <b/>
        <sz val="9"/>
        <color theme="1"/>
        <rFont val="Arial"/>
        <family val="2"/>
      </rPr>
      <t>WEDŁUG WYSOKOŚCI ŚWIADCZEŃ W LATACH 2000-2011</t>
    </r>
  </si>
  <si>
    <r>
      <t xml:space="preserve">                 NUMBER OF RETIREES FROM THE SOCIAL INSURANCE INSTITUTION</t>
    </r>
    <r>
      <rPr>
        <i/>
        <sz val="9"/>
        <color theme="1"/>
        <rFont val="Arial"/>
        <family val="2"/>
      </rPr>
      <t xml:space="preserve"> BY BENEFIT AMOUNT IN 2000-2011</t>
    </r>
  </si>
  <si>
    <r>
      <t>TABL. 26.  PRZECIĘTNA MIESIĘCZNA EMERYTURA I RENTA BRUTTO</t>
    </r>
    <r>
      <rPr>
        <b/>
        <vertAlign val="superscript"/>
        <sz val="9"/>
        <color theme="1"/>
        <rFont val="Arial"/>
        <family val="2"/>
      </rPr>
      <t xml:space="preserve"> </t>
    </r>
    <r>
      <rPr>
        <b/>
        <sz val="9"/>
        <color theme="1"/>
        <rFont val="Arial"/>
        <family val="2"/>
      </rPr>
      <t>WEDŁUG INSTYTUCJI WYPŁACAJĄCYCH</t>
    </r>
  </si>
  <si>
    <r>
      <t xml:space="preserve">                    MONTHLY AVERAGE GROSS</t>
    </r>
    <r>
      <rPr>
        <i/>
        <vertAlign val="superscript"/>
        <sz val="9"/>
        <color theme="1"/>
        <rFont val="Arial"/>
        <family val="2"/>
      </rPr>
      <t xml:space="preserve"> </t>
    </r>
    <r>
      <rPr>
        <i/>
        <sz val="9"/>
        <color theme="1"/>
        <rFont val="Arial"/>
        <family val="2"/>
      </rPr>
      <t>RETIREMENT AND OTHER PENSION BY INSTITUTIONS</t>
    </r>
  </si>
  <si>
    <r>
      <t>TABL. 27. PRZECIĘTNA MIESIĘCZNA EMERYTURA I RENTA BRUTTO</t>
    </r>
    <r>
      <rPr>
        <b/>
        <sz val="9"/>
        <color theme="1"/>
        <rFont val="Arial"/>
        <family val="2"/>
      </rPr>
      <t xml:space="preserve"> Z ZAKŁADU UBEZPIECZEŃ SPOŁECZNYCH WEDŁUG WOJEWÓDZTW </t>
    </r>
  </si>
  <si>
    <r>
      <t xml:space="preserve">                    MONTHLY AVERAGE GROSS</t>
    </r>
    <r>
      <rPr>
        <i/>
        <sz val="9"/>
        <color theme="1"/>
        <rFont val="Arial"/>
        <family val="2"/>
      </rPr>
      <t xml:space="preserve"> RETIREMENT AND OTHER PENSION FROM THE SOCIAL INSURANCE INSTITUTION BY VOIVODSHIPS </t>
    </r>
  </si>
  <si>
    <r>
      <t>TABL. 28. PRZECIĘTNA MIESIĘCZNA RENTA BRUTTO</t>
    </r>
    <r>
      <rPr>
        <b/>
        <sz val="9"/>
        <color theme="1"/>
        <rFont val="Arial"/>
        <family val="2"/>
      </rPr>
      <t xml:space="preserve"> Z ZAKŁADU UBEZPIECZEŃ SPOŁECZNYCH WEDŁUG WOJEWÓDZTW   </t>
    </r>
  </si>
  <si>
    <r>
      <t xml:space="preserve">                  MONTHLY AVERAGE GROSS</t>
    </r>
    <r>
      <rPr>
        <i/>
        <vertAlign val="superscript"/>
        <sz val="9"/>
        <color theme="1"/>
        <rFont val="Arial"/>
        <family val="2"/>
      </rPr>
      <t xml:space="preserve"> </t>
    </r>
    <r>
      <rPr>
        <i/>
        <sz val="9"/>
        <color theme="1"/>
        <rFont val="Arial"/>
        <family val="2"/>
      </rPr>
      <t xml:space="preserve">PENSION FROM THE SOCIAL INSURANCE INSTITUTION BY VOIVODSHIPS </t>
    </r>
  </si>
  <si>
    <r>
      <t xml:space="preserve">                 MONTHLY AVERAGE GROSS RETIREMENT AND OTHER PENSION FROM THE SOCIAL INSURANCE INSTITUTION BY MACROREGIONS</t>
    </r>
    <r>
      <rPr>
        <i/>
        <vertAlign val="superscript"/>
        <sz val="9"/>
        <color theme="1"/>
        <rFont val="Arial"/>
        <family val="2"/>
      </rPr>
      <t xml:space="preserve"> </t>
    </r>
  </si>
  <si>
    <r>
      <t>TABL. 31. PRZECIĘTNA MIESIĘCZNA EMERYTURA I RENTA BRUTTO</t>
    </r>
    <r>
      <rPr>
        <b/>
        <sz val="9"/>
        <color theme="1"/>
        <rFont val="Arial"/>
        <family val="2"/>
      </rPr>
      <t xml:space="preserve"> Z KASY ROLNICZEGO UBEZPIECZENIA SPOŁECZNEGO WEDŁUG WOJEWÓDZTW</t>
    </r>
  </si>
  <si>
    <r>
      <t xml:space="preserve">                   MONTHLY AVERAGE GROSS</t>
    </r>
    <r>
      <rPr>
        <i/>
        <vertAlign val="superscript"/>
        <sz val="9"/>
        <color theme="1"/>
        <rFont val="Arial"/>
        <family val="2"/>
      </rPr>
      <t xml:space="preserve"> </t>
    </r>
    <r>
      <rPr>
        <i/>
        <sz val="9"/>
        <color theme="1"/>
        <rFont val="Arial"/>
        <family val="2"/>
      </rPr>
      <t>RETIREMENT AND OTHER PENSION FROM THE AGRICULTURAL SOCIAL INSURANCE FUND BY VOIVODSHIPS</t>
    </r>
  </si>
  <si>
    <r>
      <t>TABL.30. PRZECIĘTNA MIESIĘCZNA EMERYTURA I RENTA BRUTTO</t>
    </r>
    <r>
      <rPr>
        <b/>
        <sz val="9"/>
        <color theme="1"/>
        <rFont val="Arial"/>
        <family val="2"/>
      </rPr>
      <t xml:space="preserve"> Z ZAKŁADU UBEZPIECZEŃ SPOŁECZNYCH WEDŁUG MAKROREGIONÓW</t>
    </r>
    <r>
      <rPr>
        <b/>
        <vertAlign val="superscript"/>
        <sz val="9"/>
        <color theme="1"/>
        <rFont val="Arial"/>
        <family val="2"/>
      </rPr>
      <t xml:space="preserve"> </t>
    </r>
  </si>
  <si>
    <r>
      <t xml:space="preserve">                  MONTHLY AVERAGE GROSS</t>
    </r>
    <r>
      <rPr>
        <i/>
        <vertAlign val="superscript"/>
        <sz val="9"/>
        <color theme="1"/>
        <rFont val="Arial"/>
        <family val="2"/>
      </rPr>
      <t xml:space="preserve"> </t>
    </r>
    <r>
      <rPr>
        <i/>
        <sz val="9"/>
        <color theme="1"/>
        <rFont val="Arial"/>
        <family val="2"/>
      </rPr>
      <t>PENSION FROM THE AGRICULTURAL SOCIAL INSURANCE FUND BY VOIVODSHIPS</t>
    </r>
  </si>
  <si>
    <t>TABL.34. PRZECIĘTNA MIESIĘCZNA EMERYTURA I RENTA BRUTTO Z KASY ROLNICZEGO UBEZPIECZENIA SPOŁECZNEGO WEDŁUG MAKROREGIONÓW</t>
  </si>
  <si>
    <r>
      <t xml:space="preserve">                  MONTHLY AVERAGE GROSS RETIREMENT AND OTHER PENSION FROM THE AGRICULTURAL SOCIAL INSURANCE FUND BY MACROREGIONS</t>
    </r>
    <r>
      <rPr>
        <i/>
        <vertAlign val="superscript"/>
        <sz val="9"/>
        <color theme="1"/>
        <rFont val="Arial"/>
        <family val="2"/>
      </rPr>
      <t xml:space="preserve"> </t>
    </r>
  </si>
  <si>
    <r>
      <t>TABL.35. PRZECIĘTNA MIESIĘCZNA EMERYTURA I RENTA BRUTTO</t>
    </r>
    <r>
      <rPr>
        <b/>
        <vertAlign val="superscript"/>
        <sz val="9"/>
        <color theme="1"/>
        <rFont val="Arial"/>
        <family val="2"/>
      </rPr>
      <t xml:space="preserve"> </t>
    </r>
    <r>
      <rPr>
        <b/>
        <sz val="9"/>
        <color theme="1"/>
        <rFont val="Arial"/>
        <family val="2"/>
      </rPr>
      <t>Z MINISTERSTWA OBRONY NARODOWEJ, MINISTERSTWA SPRAWIEDLIWOŚCI I MINISTERSTWA SPRAW WEWNĘTRZNYCH I ADMINISTRACJI</t>
    </r>
  </si>
  <si>
    <r>
      <t xml:space="preserve">                  MONTHLY AVERAGE GROSS</t>
    </r>
    <r>
      <rPr>
        <i/>
        <sz val="9"/>
        <color theme="1"/>
        <rFont val="Arial"/>
        <family val="2"/>
      </rPr>
      <t xml:space="preserve"> RETIREMENT AND OTHER PENSION FROM THE MINISTRY OF NATIONAL DEFENCE, THE MINISTRY OF JUSTICE AND THE MINISTRY OF INTERIOR AND ADMINISTRATION</t>
    </r>
  </si>
  <si>
    <t>TABL. 37. ŚWIADCZENIA Z ZAKŁADU UBEZPIECZEŃ SPOŁECZNYCH Z ROZDZIAŁU 75313 WYDATKÓW BUDŻETU PAŃSTWA</t>
  </si>
  <si>
    <t xml:space="preserve">                   BENEFITS FROM THE SOCIAL INSURANCE INSTITUTION FROM 75313 ALLOCATION  IN STATE BUDGET</t>
  </si>
  <si>
    <r>
      <t>TABL. 39. EMERYTURY I RENTY BRUTTO</t>
    </r>
    <r>
      <rPr>
        <b/>
        <sz val="9"/>
        <color theme="1"/>
        <rFont val="Arial"/>
        <family val="2"/>
      </rPr>
      <t xml:space="preserve"> Z POZAROLNICZEGO SYSTEMU UBEZPIECZEŃ SPOŁECZNYCH WEDŁUG ZAWODÓW </t>
    </r>
  </si>
  <si>
    <r>
      <t xml:space="preserve">                   GROSS</t>
    </r>
    <r>
      <rPr>
        <i/>
        <vertAlign val="superscript"/>
        <sz val="9"/>
        <color theme="1"/>
        <rFont val="Arial"/>
        <family val="2"/>
      </rPr>
      <t xml:space="preserve"> </t>
    </r>
    <r>
      <rPr>
        <i/>
        <sz val="9"/>
        <color theme="1"/>
        <rFont val="Arial"/>
        <family val="2"/>
      </rPr>
      <t xml:space="preserve">RETIREMENT AND OTHER PENSIONS FROM NON-AGRICULTURAL SOCIAL SECURITY SYSTEM BY OCCUPATION </t>
    </r>
  </si>
  <si>
    <r>
      <t>TABL. 40. RELACJA PRZECIĘTNEJ  MIESIĘCZNEJ EMERYTURY BRUTTO</t>
    </r>
    <r>
      <rPr>
        <b/>
        <vertAlign val="superscript"/>
        <sz val="9"/>
        <color theme="1"/>
        <rFont val="Arial"/>
        <family val="2"/>
      </rPr>
      <t xml:space="preserve"> </t>
    </r>
    <r>
      <rPr>
        <b/>
        <sz val="9"/>
        <color theme="1"/>
        <rFont val="Arial"/>
        <family val="2"/>
      </rPr>
      <t>Z POZAROLNICZEGO SYSTEMU UBEZPIECZEŃ SPOŁECZNYCH DO PRZECIĘTNEGO WYNAGRODZENIA W GOSPODARCE NARODOWEJ</t>
    </r>
    <r>
      <rPr>
        <b/>
        <sz val="9"/>
        <color theme="1"/>
        <rFont val="Arial"/>
        <family val="2"/>
      </rPr>
      <t xml:space="preserve"> </t>
    </r>
  </si>
  <si>
    <r>
      <t xml:space="preserve">                   RELATION OF MONTHLY AVERAGE GROSS</t>
    </r>
    <r>
      <rPr>
        <i/>
        <sz val="9"/>
        <color theme="1"/>
        <rFont val="Arial"/>
        <family val="2"/>
      </rPr>
      <t xml:space="preserve"> RETIREMENT PENSION FROM NON-AGRICULTURAL SOCIAL SECURITY SYSTEM TO MONTHLY AVERAGE GROSS WAGES AND SALARIES IN THE NATIONAL ECONOMY</t>
    </r>
    <r>
      <rPr>
        <i/>
        <sz val="9"/>
        <color theme="1"/>
        <rFont val="Arial"/>
        <family val="2"/>
      </rPr>
      <t xml:space="preserve"> </t>
    </r>
  </si>
  <si>
    <r>
      <t>TABL.45. PRZECIĘTNE MIESIĘCZNE SPOŻYCIE</t>
    </r>
    <r>
      <rPr>
        <b/>
        <sz val="9"/>
        <color theme="1"/>
        <rFont val="Arial"/>
        <family val="2"/>
      </rPr>
      <t xml:space="preserve"> NIEKTÓRYCH ARTYKUŁÓW ŻYWNOŚCIOWYCH NA 1 OSOBĘ W GOSPODARSTWACH DOMOWYCH EMERYTÓW I RENCISTÓW </t>
    </r>
  </si>
  <si>
    <r>
      <t xml:space="preserve">                 MONTHLY AVERAGE CONSUMPTION</t>
    </r>
    <r>
      <rPr>
        <i/>
        <sz val="9"/>
        <color theme="1"/>
        <rFont val="Arial"/>
        <family val="2"/>
      </rPr>
      <t xml:space="preserve"> OF SELECTED FOODSTUFFS PER CAPITA IN RETIREES’ AND PENSIONERS’ HOUSEHOLDS </t>
    </r>
  </si>
  <si>
    <r>
      <t>TABL.46. WYPOSAŻENIE GOSPODARSTW DOMOWYCH EMERYTÓW I RENCISTÓW W NIEKTÓRE PRZEDMIOTY TRWAŁEGO UŻYTKOWANIA</t>
    </r>
    <r>
      <rPr>
        <b/>
        <sz val="9"/>
        <color theme="1"/>
        <rFont val="Arial"/>
        <family val="2"/>
      </rPr>
      <t xml:space="preserve"> </t>
    </r>
  </si>
  <si>
    <r>
      <t xml:space="preserve">                   EQUIPMENT WITH SELECTED DURABLE GOODS</t>
    </r>
    <r>
      <rPr>
        <i/>
        <vertAlign val="superscript"/>
        <sz val="9"/>
        <color theme="1"/>
        <rFont val="Arial"/>
        <family val="2"/>
      </rPr>
      <t xml:space="preserve"> </t>
    </r>
    <r>
      <rPr>
        <i/>
        <sz val="9"/>
        <color theme="1"/>
        <rFont val="Arial"/>
        <family val="2"/>
      </rPr>
      <t xml:space="preserve">IN RETIREES’ AND PENSIONERS’ HOUSEHOLDS </t>
    </r>
  </si>
  <si>
    <r>
      <t xml:space="preserve">                 MONTHLY AVERAGE NUMBER OF RETIREES AND PENSIONERS FROM THE SOCIAL 
                 INSURANCE INSTITUTION BY MACROREGIONS</t>
    </r>
    <r>
      <rPr>
        <i/>
        <vertAlign val="superscript"/>
        <sz val="9"/>
        <color theme="1"/>
        <rFont val="Arial"/>
        <family val="2"/>
      </rPr>
      <t xml:space="preserve">a) </t>
    </r>
  </si>
  <si>
    <r>
      <t xml:space="preserve">                MONTHLY AVERAGE NUMBER OF RETIREES AND PENSIONERS FROM TTHE AGRICULTURAL
                SOCIAL INSURANCE FUND BY MACROREGIONS</t>
    </r>
    <r>
      <rPr>
        <i/>
        <vertAlign val="superscript"/>
        <sz val="9"/>
        <color theme="1"/>
        <rFont val="Arial"/>
        <family val="2"/>
      </rPr>
      <t xml:space="preserve"> </t>
    </r>
  </si>
  <si>
    <t xml:space="preserve">TABL.44. DYNAMIKA PRZECIĘTNYCH MIESIĘCZNYCH WYDATKÓW NA 1 OSOBĘ 
                  W GOSPODARSTWACH DOMOWYCH EMERYTÓW I RENCISTÓW NA TLE OGÓŁU
                  GOSPODARSTW DOMOWYCH W 2017 R. (2016=100) </t>
  </si>
  <si>
    <t xml:space="preserve">                 DYNAMICS OF MONTHLY AVERAGE EXPENDITURES PER CAPITA IN RETIREES’ AND 
                 PENSIONERS’ HOUSEHOLDS IN 2017 (2016=100) IN RELATION TO TOTAL HOUSEHOLDS
                 EXPENDITURE</t>
  </si>
  <si>
    <r>
      <t>TABL. 32. PRZECIĘTNA MIESIĘCZNA RENTA BRUTTO</t>
    </r>
    <r>
      <rPr>
        <b/>
        <vertAlign val="superscript"/>
        <sz val="9"/>
        <color theme="1"/>
        <rFont val="Arial"/>
        <family val="2"/>
      </rPr>
      <t xml:space="preserve"> </t>
    </r>
    <r>
      <rPr>
        <b/>
        <sz val="9"/>
        <color theme="1"/>
        <rFont val="Arial"/>
        <family val="2"/>
      </rPr>
      <t>Z KASY ROLNICZEGO UBEZPIECZENIA SPOŁECZNEGO WEDŁUG WOJEWÓDZTW</t>
    </r>
  </si>
  <si>
    <t xml:space="preserve">TABL.44. DYNAMIKA PRZECIĘTNYCH MIESIĘCZNYCH WYDATKÓW NA 1 OSOBĘ W GOSPODARSTWACH DOMOWYCH EMERYTÓW I RENCISTÓW NA TLE OGÓŁU GOSPODARSTW DOMOWYCH W 2017 R. (2016=100) </t>
  </si>
  <si>
    <t xml:space="preserve">                 DYNAMICS OF MONTHLY AVERAGE EXPENDITURES PER CAPITA IN RETIREES’ AND PENSIONERS’ HOUSEHOLDS IN 2017 (2016=100) IN RELATION TO TOTAL HOUSEHOLDS EXPENDITURE</t>
  </si>
  <si>
    <t>TABL.47. WYPOSAŻENIE GOSPODARSTW DOMOWYCH EMERYTÓW I RENCISTÓW W NIEKTÓRE PRZEDMIOTY TRWAŁEGO UŻYTKOWANIA W 2017 R. W PORÓWNANIU DO 2016 R. (2016 R. = 100)</t>
  </si>
  <si>
    <r>
      <t xml:space="preserve">                   EQUIPMENT WITH SELECTED DURABLE GOODS</t>
    </r>
    <r>
      <rPr>
        <i/>
        <vertAlign val="superscript"/>
        <sz val="9"/>
        <color theme="1"/>
        <rFont val="Arial"/>
        <family val="2"/>
      </rPr>
      <t xml:space="preserve"> </t>
    </r>
    <r>
      <rPr>
        <i/>
        <sz val="9"/>
        <color theme="1"/>
        <rFont val="Arial"/>
        <family val="2"/>
      </rPr>
      <t>IN RETIREES’ AND PENSIONERS’ HOUSEHOLDS IN 2017 COMPARED WITH 2016 (2016=100)</t>
    </r>
  </si>
  <si>
    <r>
      <t xml:space="preserve">Emeryci i renciści ogółem w tys. osób
</t>
    </r>
    <r>
      <rPr>
        <i/>
        <sz val="9"/>
        <rFont val="Arial"/>
        <family val="2"/>
      </rPr>
      <t>Retirees and pensioners in thous. persons</t>
    </r>
  </si>
  <si>
    <r>
      <t xml:space="preserve">w tys.osób
</t>
    </r>
    <r>
      <rPr>
        <i/>
        <sz val="9"/>
        <rFont val="Arial"/>
        <family val="2"/>
      </rPr>
      <t>in thousands persons</t>
    </r>
  </si>
  <si>
    <r>
      <t xml:space="preserve">W tys. osób   </t>
    </r>
    <r>
      <rPr>
        <i/>
        <sz val="9"/>
        <color theme="1"/>
        <rFont val="Arial"/>
        <family val="2"/>
      </rPr>
      <t>In thous.</t>
    </r>
    <r>
      <rPr>
        <i/>
        <sz val="9"/>
        <color theme="1"/>
        <rFont val="Arial"/>
        <family val="2"/>
      </rPr>
      <t>person</t>
    </r>
  </si>
  <si>
    <r>
      <t xml:space="preserve">                 SPOŁECZNYCH WEDŁUG MAKROREGIONÓW </t>
    </r>
    <r>
      <rPr>
        <b/>
        <vertAlign val="superscript"/>
        <sz val="9"/>
        <color theme="1"/>
        <rFont val="Arial"/>
        <family val="2"/>
      </rPr>
      <t xml:space="preserve">a) </t>
    </r>
    <r>
      <rPr>
        <b/>
        <sz val="9"/>
        <color theme="1"/>
        <rFont val="Arial"/>
        <family val="2"/>
      </rPr>
      <t>(W TYS. OSÓB)</t>
    </r>
  </si>
  <si>
    <r>
      <t xml:space="preserve">TABL.4. PRZECIĘTNA MIESIĘCZNA LICZBA EMERYTÓW I RENCISTÓW Z ZAKŁADU UBEZPIECZEŃ SPOŁECZNYCH WEDŁUG MAKROREGIONÓW (W TYS. OSÓB) </t>
    </r>
    <r>
      <rPr>
        <b/>
        <vertAlign val="superscript"/>
        <sz val="9"/>
        <color theme="1"/>
        <rFont val="Arial"/>
        <family val="2"/>
      </rPr>
      <t xml:space="preserve"> </t>
    </r>
  </si>
  <si>
    <r>
      <t xml:space="preserve">                INSURANCE INSTITUTION BY MACROREGIONS</t>
    </r>
    <r>
      <rPr>
        <i/>
        <vertAlign val="superscript"/>
        <sz val="9"/>
        <color theme="1"/>
        <rFont val="Arial"/>
        <family val="2"/>
      </rPr>
      <t>a)</t>
    </r>
    <r>
      <rPr>
        <i/>
        <sz val="9"/>
        <color theme="1"/>
        <rFont val="Arial"/>
        <family val="2"/>
      </rPr>
      <t>(IN THOUSANDS PERSONS)</t>
    </r>
  </si>
  <si>
    <t xml:space="preserve">                 MONTHLY AVERAGE NUMBER OF RETIREES AND PENSIONERS FROM THE SOCIAL INSURANCE INSTITUTION BY MACROREGIONS (IN THOUSANDS PERSONS) </t>
  </si>
  <si>
    <t xml:space="preserve">TABL.8. PRZECIĘTNA MIESIĘCZNA LICZBA EMERYTÓW I RENCISTÓW Z KASY ROLNICZEGO
                UBEZPIECZENIA SPOŁECZNEGO WEDŁUG MAKROREGIONÓW (W TYS. OSÓB) </t>
  </si>
  <si>
    <t xml:space="preserve">                MONTHLY AVERAGE NUMBER OF RETIREES AND PENSIONERS FROM THE AGRICULTURAL
                SOCIAL INSURANCE FUND BY MACROREGIONS (IN THOUSANDS PERSONS) </t>
  </si>
  <si>
    <t xml:space="preserve">                MONTHLY AVERAGE NUMBER OF RETIREES AND PENSIONERS FROM THE AGRICULTURAL SOCIAL INSURANCE FUND BY MACROREGIONS (IN THOUSANDS PERSONS)</t>
  </si>
  <si>
    <t xml:space="preserve">TABL.8. PRZECIĘTNA MIESIĘCZNA LICZBA EMERYTÓW I RENCISTÓW Z KASY ROLNICZEGO UBEZPIECZENIA SPOŁECZNEGO WEDŁUG MAKROREGIONÓW (W TYS. OSÓB) </t>
  </si>
  <si>
    <r>
      <t>TABL.25. LICZBA EMERYTÓW I RENCISTÓW Z ZAKŁADU UBEZPIECZEŃ SPOŁECZNYCH</t>
    </r>
    <r>
      <rPr>
        <b/>
        <vertAlign val="superscript"/>
        <sz val="9"/>
        <color theme="1"/>
        <rFont val="Arial"/>
        <family val="2"/>
      </rPr>
      <t xml:space="preserve"> </t>
    </r>
    <r>
      <rPr>
        <b/>
        <sz val="9"/>
        <color theme="1"/>
        <rFont val="Arial"/>
        <family val="2"/>
      </rPr>
      <t>WEDŁUG PŁCI ORAZ WYSOKOŚCI ŚWIADCZEŃ W MARCU 2017 R</t>
    </r>
  </si>
  <si>
    <t xml:space="preserve">                  NUMBER OF RETIREES AND OTHER PENSIONERS FROM THE SOCIAL INSURANCE INSTITUTIONBY SEX AND BENEFIT AMOUNT IN MARCH OF 2017</t>
  </si>
  <si>
    <r>
      <t>TABL.29. PRZECIĘTNA MIESIĘCZNA EMERYTURA I RENTA BRUTTO</t>
    </r>
    <r>
      <rPr>
        <b/>
        <vertAlign val="superscript"/>
        <sz val="9"/>
        <color theme="1"/>
        <rFont val="Arial"/>
        <family val="2"/>
      </rPr>
      <t xml:space="preserve">a) </t>
    </r>
    <r>
      <rPr>
        <b/>
        <sz val="9"/>
        <color theme="1"/>
        <rFont val="Arial"/>
        <family val="2"/>
      </rPr>
      <t>Z ZAKŁADU UBEZPIECZEŃ 
                   SPOŁECZNYCH WEDŁUG MAKROREGIONÓW</t>
    </r>
    <r>
      <rPr>
        <b/>
        <vertAlign val="superscript"/>
        <sz val="9"/>
        <color theme="1"/>
        <rFont val="Arial"/>
        <family val="2"/>
      </rPr>
      <t>b)</t>
    </r>
    <r>
      <rPr>
        <b/>
        <sz val="9"/>
        <color theme="1"/>
        <rFont val="Arial"/>
        <family val="2"/>
      </rPr>
      <t xml:space="preserve"> (W  ZŁ)</t>
    </r>
  </si>
  <si>
    <r>
      <t xml:space="preserve">                   MONTHLY AVERAGE GROSS</t>
    </r>
    <r>
      <rPr>
        <i/>
        <vertAlign val="superscript"/>
        <sz val="9"/>
        <color theme="1"/>
        <rFont val="Arial"/>
        <family val="2"/>
      </rPr>
      <t xml:space="preserve">a) </t>
    </r>
    <r>
      <rPr>
        <i/>
        <sz val="9"/>
        <color theme="1"/>
        <rFont val="Arial"/>
        <family val="2"/>
      </rPr>
      <t>RETIREMENT AND OTHER  PENSION FROM THE SOCIAL
                   INSURANCE INSTITUTION BY MACROREGIONS</t>
    </r>
    <r>
      <rPr>
        <i/>
        <vertAlign val="superscript"/>
        <sz val="9"/>
        <color theme="1"/>
        <rFont val="Arial"/>
        <family val="2"/>
      </rPr>
      <t xml:space="preserve">b) </t>
    </r>
    <r>
      <rPr>
        <i/>
        <sz val="9"/>
        <color theme="1"/>
        <rFont val="Arial"/>
        <family val="2"/>
      </rPr>
      <t xml:space="preserve">(IN ZL) </t>
    </r>
  </si>
  <si>
    <r>
      <t>TABL.29. PRZECIĘTNA MIESIĘCZNA EMERYTURA I RENTA BRUTTO</t>
    </r>
    <r>
      <rPr>
        <b/>
        <vertAlign val="superscript"/>
        <sz val="9"/>
        <color theme="1"/>
        <rFont val="Arial"/>
        <family val="2"/>
      </rPr>
      <t xml:space="preserve"> </t>
    </r>
    <r>
      <rPr>
        <b/>
        <sz val="9"/>
        <color theme="1"/>
        <rFont val="Arial"/>
        <family val="2"/>
      </rPr>
      <t>Z ZAKŁADU UBEZPIECZEŃ SPOŁECZNYCH WEDŁUG MAKROREGIONÓW (W ZŁ)</t>
    </r>
    <r>
      <rPr>
        <b/>
        <vertAlign val="superscript"/>
        <sz val="9"/>
        <color theme="1"/>
        <rFont val="Arial"/>
        <family val="2"/>
      </rPr>
      <t xml:space="preserve">  </t>
    </r>
  </si>
  <si>
    <r>
      <t xml:space="preserve">                   MONTHLY AVERAGE GROSS</t>
    </r>
    <r>
      <rPr>
        <i/>
        <vertAlign val="superscript"/>
        <sz val="9"/>
        <color theme="1"/>
        <rFont val="Arial"/>
        <family val="2"/>
      </rPr>
      <t xml:space="preserve"> </t>
    </r>
    <r>
      <rPr>
        <i/>
        <sz val="9"/>
        <color theme="1"/>
        <rFont val="Arial"/>
        <family val="2"/>
      </rPr>
      <t xml:space="preserve">RETIREMENT AND OTHER  PENSION FROM THE SOCIAL INSURANCE INSTITUTION BY MACROREGIONS (IN ZL) </t>
    </r>
    <r>
      <rPr>
        <i/>
        <vertAlign val="superscript"/>
        <sz val="9"/>
        <color theme="1"/>
        <rFont val="Arial"/>
        <family val="2"/>
      </rPr>
      <t xml:space="preserve"> </t>
    </r>
  </si>
  <si>
    <r>
      <t>TABL.33. PRZECIĘTNA MIESIĘCZNA EMERYTURA I RENTA BRUTTO</t>
    </r>
    <r>
      <rPr>
        <b/>
        <vertAlign val="superscript"/>
        <sz val="9"/>
        <color theme="1"/>
        <rFont val="Arial"/>
        <family val="2"/>
      </rPr>
      <t>a)</t>
    </r>
    <r>
      <rPr>
        <b/>
        <sz val="9"/>
        <color theme="1"/>
        <rFont val="Arial"/>
        <family val="2"/>
      </rPr>
      <t xml:space="preserve"> Z KASY ROLNICZEGO
                  UBEZPIECZENIA SPOŁECZNEGO WEDŁUG MAKROREGIONÓW</t>
    </r>
    <r>
      <rPr>
        <b/>
        <vertAlign val="superscript"/>
        <sz val="9"/>
        <color theme="1"/>
        <rFont val="Arial"/>
        <family val="2"/>
      </rPr>
      <t xml:space="preserve">b)c) </t>
    </r>
    <r>
      <rPr>
        <b/>
        <sz val="9"/>
        <color theme="1"/>
        <rFont val="Arial"/>
        <family val="2"/>
      </rPr>
      <t>(W ZŁ)</t>
    </r>
  </si>
  <si>
    <r>
      <t xml:space="preserve">                  MONTHLY AVERAGE GROSS</t>
    </r>
    <r>
      <rPr>
        <i/>
        <vertAlign val="superscript"/>
        <sz val="9"/>
        <color theme="1"/>
        <rFont val="Arial"/>
        <family val="2"/>
      </rPr>
      <t xml:space="preserve">a) </t>
    </r>
    <r>
      <rPr>
        <i/>
        <sz val="9"/>
        <color theme="1"/>
        <rFont val="Arial"/>
        <family val="2"/>
      </rPr>
      <t>RETIREMENT AND OTHER PENSION FROM THE AGRICULTURAL
                  SOCIAL INSURANCE FUND BY MACROREGIONS</t>
    </r>
    <r>
      <rPr>
        <i/>
        <vertAlign val="superscript"/>
        <sz val="9"/>
        <color theme="1"/>
        <rFont val="Arial"/>
        <family val="2"/>
      </rPr>
      <t>b)c)</t>
    </r>
    <r>
      <rPr>
        <i/>
        <sz val="9"/>
        <color theme="1"/>
        <rFont val="Arial"/>
        <family val="2"/>
      </rPr>
      <t>(IN ZL)</t>
    </r>
  </si>
  <si>
    <t xml:space="preserve">TABL.33. PRZECIĘTNA MIESIĘCZNA EMERYTURA I RENTA BRUTTO Z KASY ROLNICZEGO UBEZPIECZENIA SPOŁECZNEGO WEDŁUG MAKROREGIONÓW (W ZŁ) </t>
  </si>
  <si>
    <r>
      <t xml:space="preserve">                  MONTHLY AVERAGE GROSS</t>
    </r>
    <r>
      <rPr>
        <i/>
        <vertAlign val="superscript"/>
        <sz val="9"/>
        <color theme="1"/>
        <rFont val="Arial"/>
        <family val="2"/>
      </rPr>
      <t xml:space="preserve"> </t>
    </r>
    <r>
      <rPr>
        <i/>
        <sz val="9"/>
        <color theme="1"/>
        <rFont val="Arial"/>
        <family val="2"/>
      </rPr>
      <t xml:space="preserve">RETIREMENT AND OTHER PENSION FROM THE AGRICULTURAL SOCIAL INSURANCE FUND BY MACROREGIONS (IN ZL) </t>
    </r>
  </si>
  <si>
    <t>a) Patrz uwagi metodologiczne, pkt. 5, str. 29.</t>
  </si>
  <si>
    <t>TABL.41. ŚREDNIOROCZNE MINIMUM EGZYSTENCJI I MINIMUM SOCJALNE DLA GOSPODARSTW EMERYCKICH W LATACH 2000-2017</t>
  </si>
  <si>
    <t xml:space="preserve">                  YEARLY SUBSISTENCE MINIMUM AND SOCIAL MINIMUM FOR RETIREES’ HOUSEHOLDS IN 2000-2017</t>
  </si>
  <si>
    <t>TABL.III.52G i 53'!A1</t>
  </si>
  <si>
    <t>a) Patrz uwagi ogólne, pkt.5, str. 29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</si>
  <si>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a) See general notes, point 5, p.32 b) Including accident pensions financed from SIF, paid from the MND ,the MIA, and the MJ simultaneously to retirement pensions paid from the MND, the MIA, and the MJ not included by ministries. c) Including one-off payment for persons receiving retirement and other pensions in the amount not higher than the lowest retirement or other pension.</t>
  </si>
  <si>
    <t>a) Patrz uwagi ogólne, pkt. 5, s. 29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kwotą okresowej emerytury kapitałowej ze środków zgromadzonych w OFE. e) Przyporządkowanie do województwa według siedziby oddziału ZUS dokonującego wypłaty emerytury bądź renty dla danego świadczeniobiorcy.</t>
  </si>
  <si>
    <t>a) See general notes, point. 5 p. 32.b) Excluding retirement and other pensions of people with simultaneous right to agricultural benefit, also excluding the bridge benefits and teatchers’ compension benefits.
c) Including accident pensions financed from the SIF, paid from the MND, the MIA, and the MJ simultaneously to retirement pensions from the MND, the MIA, and the MJ not included in the territorial distribution by voivodships. 
d) including annuity retirement pension from the means gathered in the Open Pension Fund. 
e) Assignment to the voivodship by a branch of the SII paying particular retirement or other pension.</t>
  </si>
  <si>
    <t>a) Patrz uwagi ogólne, pkt. 5, s. 29. b) Bez emerytur i rent osób posiadających prawo także do świadczenia rolniczego. 
c) Łącznie z rentami wypadkowymi finansowanymi z FUS, a wypłacanymi przez MON, MSWiA oraz MS w zbiegu 
z emeryturami finansowanymi z budżetu MON, MSWiA oraz MS nie uwzględnionymi w podziale na województwa.
d) Przyporządkowanie do województwa według siedziby oddziału ZUS dokonującego wypłaty emerytury bądź renty dla danego świadczeniobiorcy.</t>
  </si>
  <si>
    <t xml:space="preserve">a) See general notes, point 5, p. 32. 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 d) Assignment to the voivodship by a branch of the SII paying particular retirement or other pension. </t>
  </si>
  <si>
    <t>a) Patrz uwagi ogólne, pkt. 2 i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GBRZ-tami w kwocie 658,2 tys. zł. e) Łącznie ze świadczeniami pieniężnymi dla cywilnych niewidomych ofiar wojny w kwocie
108,8 tys. zł. f) Łącznie z wypłatami świadczeń rolnych z: MON (1 160,8 tys. zł), MS (518,5 tys. zł), MSWiA
(4 977,6 tys. zł).</t>
  </si>
  <si>
    <t>a) See general notes, point 2 and 5, 32.b) Including payment retirement and other pensions of people with simultaneous right to employee benefit financed from the SIF and including pension benefits of war and military invalids, repressed persons finansed from the separate chapter of the state budget 75313.c) Including paying on the basis of Art. 2, paragraph.4 in conjuction with Art. 25, paragraph 2a of the Act of social insurance for farmers but without deductions not transmitted. d) Including amount of  658,2 thous. zl GBRZ benefits. e) Including amount of 108,8 thous. zl cash benefits for blind civil victims of warfare. f) Including agricultural benefits paid from: the MND (1 160,8 thous. zl) ,the MI (4 977,6 thous. zl), and the MJ (518,5 thous. zl).</t>
  </si>
  <si>
    <t>a) Patrz uwagi ogólne, pkt 2 i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rentami socjalnymi w kwocie 114 434,9 tys. zł.</t>
  </si>
  <si>
    <t>a) See general notes, point 2 and 5, p. 32.b) Including payment retirement and other pensions of people with simultaneous right to employee benefit financed from the SIF and including pension benefits of war and military invalids, repressed persons finansed from the separate chapter of the state budget 75313.c) Including social pensions in the amount of 114 434,9 thous. zl.</t>
  </si>
  <si>
    <r>
      <t xml:space="preserve">a) Patrz uwagi ogólne, pkt. 5, s. 29. b) Kwoty świadczeń z dodatkami pielęgnacyjnymi i dodatkami dla sierot zupełnych. 
c) Renty z ustawy o zaopatrzeniu inwalidów wojennych i wojskowych oraz ich rodzin obok emerytury otrzymywały 
</t>
    </r>
    <r>
      <rPr>
        <sz val="8"/>
        <rFont val="Arial"/>
        <family val="2"/>
      </rPr>
      <t>w 2017 r. 244 osoby na kwotę 4 558 595 zł.</t>
    </r>
  </si>
  <si>
    <r>
      <t>a) See general notes, point 5, p.32. b) Including nursing supplement and supplement for double orphans. c) Pensions from the law on provision of warfare disables and soldiers as well as their families paid, besides the retirement pension, to 244</t>
    </r>
    <r>
      <rPr>
        <i/>
        <sz val="8"/>
        <color rgb="FFFF0000"/>
        <rFont val="Arial"/>
        <family val="2"/>
      </rPr>
      <t xml:space="preserve"> </t>
    </r>
    <r>
      <rPr>
        <i/>
        <sz val="8"/>
        <rFont val="Arial"/>
        <family val="2"/>
      </rPr>
      <t>persons; amount of payments in 2017 was 4 558 595 zl</t>
    </r>
  </si>
  <si>
    <t>a) Patrz uwagi ogólne, pkt. 5, str. 29.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</si>
  <si>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a) See general notes, point 5, p. 32.b) Including accident pensions financed from the SIF, paid from the MND, the MIA, and the MJ simultaneously to retirement pensions from the MND, the MIA, and the MJ not included by ministries.c) Including one-off payment for persons receiving retirement and other pensions in the amount not higher than the lowest retirement or other pension.</t>
  </si>
  <si>
    <t>a) Patrz uwagi ogólne, pkt. 5, str. 29.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okresową emeryturą kapitałową.
e) Przyporządkowanie do województwa według siedziby oddziału ZUS dokonującego wypłaty emerytury bądź renty dla danego świadczeniobiorcy.</t>
  </si>
  <si>
    <t>a) See general notes, point 5, p. 32.b) Excluding retirement and other pensions of persons with simultaneous right to agricultural benefit, also excluding the bridge benefits and teatchers’ compension benefits. c) Including accident pensions financed from the SIF, paid from the MND, the MIA, and the MJ simultaneously to retirement pension from the MND, the MIA, and the MJ not included in the territorial distribution by voivodships. d) Including temporary capital retirement pension from the means gathered in the OPF. e) Assignment to the voivodship by a branch of the SII paying particular retirement or other pension.</t>
  </si>
  <si>
    <t>a) Patrz uwagi ogólne, pkt. 5, s. 29. b) Bez emerytur i rent osób posiadających prawo także do świadczenia rolniczego.
c) Łącznie z rentami wypadkowymi finansowanymi z FUS, a wypłacanymi przez MON, MSWiA oraz MS w zbiegu 
z emeryturami finansowanymi z budżetu MON, MSWiA oraz MS nie uwzględnionymi w podziale na województwa. 
d) Przyporządkowanie do województwa według siedziby oddziału ZUS dokonującego wypłaty emerytury bądź renty dla danego świadczeniobiorcy.</t>
  </si>
  <si>
    <t xml:space="preserve">a) See general notes, point 5, p. 32.b)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voivodships.d) Assignment to the voivodship by a branch of the SII paying particular retirement or other pension. </t>
  </si>
  <si>
    <t xml:space="preserve">a) Patrz uwagi ogólne, pkt. 5 str. 29. b) Przyporządkowanie do województwa według siedziby oddziału ZUS dokonującego wypłaty emerytury bądź renty dla danego świadczeniobiorcy. c) Bez emerytur i rent osób posiadających prawo także do świadczenia rolniczego, bez emerytur pomostowych oraz nauczycielskich świadczeń kompensacyjnych. d) Łącznie z rentami wypadkowymi finansowanymi z FUS, a wypłacanymi przez MON, MSWiA oraz MS w zbiegu z emeryturami finansowanymi z budżetu MON, MSWiA oraz MS nie uwzględnionymi w podziale na województwa. </t>
  </si>
  <si>
    <t>a) See general notes, point 5. p. 32. b) Assignment to the voivodship by a branch of the SII paying particular retirement or other pension, c) Excluding retirement and other pensions of persons with simultaneous right to agricultural benefit also excluding the bridge benefits and teatchers’ compension benefits. d) Including accident pensions financed from the SIF, paid from the MND, the MIA, and the MJ simultaneously to retirement pensions from the MND, the MIA, and the MJ not included in the territorial distribution by voivodships.</t>
  </si>
  <si>
    <t xml:space="preserve">a) Patrz uwagi ogólne, pkt. 5 str. 29. b) Przyporządkowanie do województwa według siedziby oddziału ZUS dokonującego wypłaty emerytury bądź renty dla danego świadczeniobiorcy. c) Bez emerytur i rent osób posiadających prawo także do świadczenia rolniczego, bez emerytur pomostowych oraz nauczycielskich świadczeń kompensacyjnych. d) Łącznie 
z rentami wypadkowymi finansowanymi z FUS, a wypłacanymi przez MON, MSWiA oraz MS w zbiegu z emeryturami finansowanymi z budżetu MON, MSWiA oraz MS nie uwzględnionymi w podziale na województwa. </t>
  </si>
  <si>
    <t xml:space="preserve">a) Patrz uwagi ogólne, pkt. 2 i 5, str. 29. b) Łącznie ze świadczeniami rentowymi osób posiadających prawo także do świadczenia pracowniczego finansowanego z FUS oraz łącznie ze świadczeniami inwalidów wojennych, wojskowych 
i osób represjonowanych finansowanymi z odrębnego rozdziału wydatków budżetu państwa 75313. c) Łącznie z wypłatami na podstawie art. 25, ust. 4 w związku z art. 25 ust. 2a ustawy o ubezpieczeniu społecznym rolników, lecz bez potrąceń nie przekazywanych. d) Łącznie z GBRZ-tami. e) Łącznie ze świadczeniami pieniężnymi dla cywilnych niewidomych ofiar wojny. f) Łącznie z wypłatami świadczeń rolnych z MON, MS, MSWiA.
</t>
  </si>
  <si>
    <t xml:space="preserve">a) See general notes, point 2and 5, p. 32.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paragraph.4 in conjuction with Art. 25, paragraph 2a of the Act of social security for farmers but without deductions not transmitted. d) Including GBRZ benefit. e) Including cash benefits for blind civil victims of warfare. f) Including agricultural benefits payments from the MND, the MJ and the MIA. </t>
  </si>
  <si>
    <t>a) Patrz uwagi ogólne, pkt. 5, str. 29. b) Łącznie ze świadczeniami rentowymi osób posiadających prawo także do świadczenia pracowniczego finansowanego z FUS ze świadczeniami rentowymi inwalidów wojennych, wojskowych 
i osób represjonowanych finansowanych z odrębnego rozdziału wydatków budżetu państwa 75313. c) Łącznie 
z wypłatami na podstawie art. 25 ust 4 w związku z art.25 ust 2a ustawy o ubezpieczeniu społecznym rolników, lecz bez potrąceń nie przekazywanych. d) Łącznie z rentami socjalnymi.</t>
  </si>
  <si>
    <t>a) See general notes, point 5, p. 32.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 paragraph.4 in conjuction with Art. 25, paragraph 2a of the Act of social security for farmers but without deductions not transmitted. d) Including social pensions.</t>
  </si>
  <si>
    <t>a) Patrz uwagi ogólne, pkt.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 e) Łącznie ze świadczeniami pieniężnymi dla cywilnych niewidomych ofiar wojny. f) Łącznie z wypłatami świadczeń rolnych przez MON, MS, MSWIA.</t>
  </si>
  <si>
    <t xml:space="preserve">a) See general notes, point 5, p. 32. b) Including payment retirement and other pensions of people with simultaneous right to employee benefit financed from the SIF and including pension benefits of war and military invalids, repressed persons financed from the separate chapter of the state budget 75313. c) Including paying on the basis of Art. 25, paragraph 4 in conjunction with Art. 25, paragraph 2a of the Act of social security for farmers but without deductions not transmitted.
d) Including GBRZ benefit. e) Including cash benefits for blind civil victims of warfare. f) Including agricultural benefits payments from the MND, the MJ and the MI benefits for blind civil victims of warfare. f) Including agricultural benefits payments from the MND, the MJ and the MIA. </t>
  </si>
  <si>
    <t>a) Patrz uwagi ogólne, pkt. 5, str. 29.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ust.4 w związku z art. 25 ust. 2a ustawy o ubezpieczeniu społecznym rolników, lecz bez potrąceń nieprzekazywanych. d) Łącznie z GBRZ. e) Łącznie ze świadczeniami pieniężnymi dla cywilnych niewidomych ofiar wojny. f) Łącznie z rentami socjalnymi. g) Łącznie z wypłatami świadczeń rolnych przez MON, MS, MSWiA.</t>
  </si>
  <si>
    <t xml:space="preserve">a) See general notes, point 5, p. 32. b) Including payment retirement and other pensions of people with simultaneous right to employee benefit financed from the SIF and including pension benefits of war and military invalids, repressed persons finansed from the separate chapter of the state budget 75313. c) Including paying on the basis of Art. 2, paragraph.4 in conjuction with Art. 25, paragraph 2a of the Act of social security for farmers but without deductions not transmitted. 
d) Including GBRZ benefit. e) Including cash benefits for blind civil victims of warfare. f) Including social pensions. 
g) Including agricultural benefits payments from the MND, the MJ and the MIA. </t>
  </si>
  <si>
    <t>a) See methodological notes, point 5, p. 32.</t>
  </si>
  <si>
    <t>a) Patrz uwagi ogólne, pkt. 5, str. 29. b) Do obliczenia przyjęto za podstawę (mianownik) przeciętne miesięczne wynagrodzenie brutto pomniejszone o składki na obowiązkowe ubezpieczenia społeczne.</t>
  </si>
  <si>
    <t>a) See general notes, point 5, p. 32. b) For calculating the ratio, the average monthly gross wages and salaries, less contributions to compulsory social security, was adopted as the base (denominator).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</si>
</sst>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
    <numFmt numFmtId="165" formatCode="0.0"/>
    <numFmt numFmtId="166" formatCode="@*."/>
    <numFmt numFmtId="167" formatCode="#,##0_ ;\-#,##0\ "/>
    <numFmt numFmtId="168" formatCode="[$-1010409]0.00"/>
    <numFmt numFmtId="169" formatCode="[$-1010409]General"/>
  </numFmts>
  <fonts count="49">
    <font>
      <sz val="11"/>
      <color theme="1"/>
      <name val="Calibri"/>
      <family val="2"/>
      <scheme val="minor"/>
    </font>
    <font>
      <sz val="10"/>
      <name val="Arial"/>
      <family val="2"/>
    </font>
    <font>
      <sz val="11"/>
      <color theme="1"/>
      <name val="Czcionka tekstu podstawowego"/>
      <family val="2"/>
    </font>
    <font>
      <i/>
      <sz val="9"/>
      <color theme="1"/>
      <name val="Times New Roman"/>
      <family val="1"/>
    </font>
    <font>
      <i/>
      <sz val="10"/>
      <color theme="1"/>
      <name val="Times New Roman"/>
      <family val="1"/>
    </font>
    <font>
      <sz val="10"/>
      <name val="Times New Roman"/>
      <family val="1"/>
    </font>
    <font>
      <b/>
      <vertAlign val="superscript"/>
      <sz val="10"/>
      <name val="Times New Roman CE"/>
      <family val="2"/>
    </font>
    <font>
      <sz val="10"/>
      <name val="Arial CE"/>
      <family val="2"/>
    </font>
    <font>
      <u val="single"/>
      <sz val="11"/>
      <color theme="10"/>
      <name val="Calibri"/>
      <family val="2"/>
      <scheme val="minor"/>
    </font>
    <font>
      <i/>
      <vertAlign val="superscript"/>
      <sz val="9"/>
      <name val="Arial"/>
      <family val="2"/>
    </font>
    <font>
      <sz val="11"/>
      <color indexed="8"/>
      <name val="Czcionka tekstu podstawowego"/>
      <family val="2"/>
    </font>
    <font>
      <sz val="11"/>
      <color rgb="FF000000"/>
      <name val="Calibri"/>
      <family val="2"/>
      <scheme val="minor"/>
    </font>
    <font>
      <u val="single"/>
      <sz val="9"/>
      <color theme="10"/>
      <name val="Arial"/>
      <family val="2"/>
    </font>
    <font>
      <sz val="9"/>
      <color theme="1"/>
      <name val="Arial"/>
      <family val="2"/>
    </font>
    <font>
      <b/>
      <sz val="9"/>
      <color theme="1"/>
      <name val="Arial"/>
      <family val="2"/>
    </font>
    <font>
      <b/>
      <i/>
      <sz val="9"/>
      <color theme="1"/>
      <name val="Arial"/>
      <family val="2"/>
    </font>
    <font>
      <i/>
      <sz val="9"/>
      <color theme="1"/>
      <name val="Arial"/>
      <family val="2"/>
    </font>
    <font>
      <b/>
      <vertAlign val="superscript"/>
      <sz val="9"/>
      <color theme="1"/>
      <name val="Arial"/>
      <family val="2"/>
    </font>
    <font>
      <i/>
      <vertAlign val="superscript"/>
      <sz val="9"/>
      <color theme="1"/>
      <name val="Arial"/>
      <family val="2"/>
    </font>
    <font>
      <i/>
      <vertAlign val="superscript"/>
      <sz val="9"/>
      <color rgb="FF000000"/>
      <name val="Arial"/>
      <family val="2"/>
    </font>
    <font>
      <b/>
      <sz val="8"/>
      <color theme="1"/>
      <name val="Arial"/>
      <family val="2"/>
    </font>
    <font>
      <sz val="8"/>
      <color theme="1"/>
      <name val="Arial"/>
      <family val="2"/>
    </font>
    <font>
      <i/>
      <sz val="8"/>
      <color theme="1"/>
      <name val="Arial"/>
      <family val="2"/>
    </font>
    <font>
      <i/>
      <sz val="8"/>
      <name val="Arial"/>
      <family val="2"/>
    </font>
    <font>
      <i/>
      <vertAlign val="superscript"/>
      <sz val="8"/>
      <color theme="1"/>
      <name val="Arial"/>
      <family val="2"/>
    </font>
    <font>
      <b/>
      <i/>
      <sz val="9"/>
      <name val="Arial"/>
      <family val="2"/>
    </font>
    <font>
      <i/>
      <sz val="9"/>
      <name val="Arial"/>
      <family val="2"/>
    </font>
    <font>
      <b/>
      <sz val="9"/>
      <name val="Arial"/>
      <family val="2"/>
    </font>
    <font>
      <sz val="8"/>
      <name val="Arial"/>
      <family val="2"/>
    </font>
    <font>
      <sz val="9"/>
      <color rgb="FF000000"/>
      <name val="Arial"/>
      <family val="2"/>
    </font>
    <font>
      <i/>
      <sz val="9"/>
      <color rgb="FF000000"/>
      <name val="Arial"/>
      <family val="2"/>
    </font>
    <font>
      <b/>
      <vertAlign val="superscript"/>
      <sz val="8"/>
      <color theme="1"/>
      <name val="Arial"/>
      <family val="2"/>
    </font>
    <font>
      <i/>
      <sz val="8"/>
      <color rgb="FF000000"/>
      <name val="Arial"/>
      <family val="2"/>
    </font>
    <font>
      <sz val="8"/>
      <color rgb="FF000000"/>
      <name val="Arial"/>
      <family val="2"/>
    </font>
    <font>
      <sz val="9"/>
      <name val="Arial"/>
      <family val="2"/>
    </font>
    <font>
      <b/>
      <vertAlign val="superscript"/>
      <sz val="9"/>
      <name val="Arial"/>
      <family val="2"/>
    </font>
    <font>
      <b/>
      <sz val="9"/>
      <color rgb="FF000000"/>
      <name val="Arial"/>
      <family val="2"/>
    </font>
    <font>
      <b/>
      <vertAlign val="superscript"/>
      <sz val="9"/>
      <color rgb="FF000000"/>
      <name val="Arial"/>
      <family val="2"/>
    </font>
    <font>
      <sz val="8"/>
      <color rgb="FFFF0000"/>
      <name val="Arial"/>
      <family val="2"/>
    </font>
    <font>
      <i/>
      <sz val="8"/>
      <color rgb="FFFF0000"/>
      <name val="Arial"/>
      <family val="2"/>
    </font>
    <font>
      <vertAlign val="superscript"/>
      <sz val="9"/>
      <name val="Arial"/>
      <family val="2"/>
    </font>
    <font>
      <b/>
      <i/>
      <vertAlign val="superscript"/>
      <sz val="9"/>
      <color rgb="FF000000"/>
      <name val="Arial"/>
      <family val="2"/>
    </font>
    <font>
      <vertAlign val="superscript"/>
      <sz val="9"/>
      <color rgb="FF000000"/>
      <name val="Arial"/>
      <family val="2"/>
    </font>
    <font>
      <vertAlign val="superscript"/>
      <sz val="9"/>
      <color theme="1"/>
      <name val="Arial"/>
      <family val="2"/>
    </font>
    <font>
      <b/>
      <i/>
      <vertAlign val="superscript"/>
      <sz val="9"/>
      <name val="Arial"/>
      <family val="2"/>
    </font>
    <font>
      <sz val="8.5"/>
      <color theme="1"/>
      <name val="Arial"/>
      <family val="2"/>
    </font>
    <font>
      <i/>
      <sz val="8.5"/>
      <color theme="1"/>
      <name val="Arial"/>
      <family val="2"/>
    </font>
    <font>
      <b/>
      <sz val="9"/>
      <color rgb="FFFF0000"/>
      <name val="Arial"/>
      <family val="2"/>
    </font>
    <font>
      <sz val="9"/>
      <color indexed="8"/>
      <name val="Arial"/>
      <family val="2"/>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28">
    <border>
      <left/>
      <right/>
      <top/>
      <bottom/>
      <diagonal/>
    </border>
    <border>
      <left style="thin"/>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right/>
      <top style="thin"/>
      <bottom/>
    </border>
    <border>
      <left/>
      <right style="thin"/>
      <top/>
      <bottom/>
    </border>
    <border>
      <left style="thin"/>
      <right/>
      <top/>
      <bottom/>
    </border>
    <border>
      <left style="thin"/>
      <right/>
      <top style="thin"/>
      <bottom/>
    </border>
    <border>
      <left style="thin"/>
      <right style="thin">
        <color rgb="FF000000"/>
      </right>
      <top/>
      <bottom/>
    </border>
    <border>
      <left/>
      <right/>
      <top style="thin"/>
      <bottom style="thin"/>
    </border>
    <border>
      <left/>
      <right/>
      <top/>
      <bottom style="thin"/>
    </border>
    <border>
      <left/>
      <right style="medium"/>
      <top/>
      <bottom/>
    </border>
    <border>
      <left style="medium"/>
      <right style="medium"/>
      <top/>
      <bottom/>
    </border>
    <border>
      <left style="medium"/>
      <right/>
      <top/>
      <bottom/>
    </border>
    <border>
      <left style="thin"/>
      <right style="thin"/>
      <top/>
      <bottom style="thin"/>
    </border>
    <border>
      <left style="thin"/>
      <right/>
      <top/>
      <bottom style="thin"/>
    </border>
    <border>
      <left/>
      <right style="thin"/>
      <top style="thin"/>
      <bottom/>
    </border>
    <border>
      <left style="thin">
        <color indexed="8"/>
      </left>
      <right style="thin">
        <color indexed="8"/>
      </right>
      <top/>
      <bottom/>
    </border>
    <border>
      <left style="thin">
        <color indexed="8"/>
      </left>
      <right/>
      <top/>
      <bottom/>
    </border>
    <border>
      <left style="thin"/>
      <right style="thin">
        <color indexed="8"/>
      </right>
      <top/>
      <bottom/>
    </border>
    <border>
      <left/>
      <right style="thin">
        <color indexed="8"/>
      </right>
      <top/>
      <bottom/>
    </border>
    <border>
      <left style="thin">
        <color rgb="FF000000"/>
      </left>
      <right style="thin">
        <color rgb="FF000000"/>
      </right>
      <top/>
      <bottom/>
    </border>
    <border>
      <left style="thin">
        <color rgb="FF000000"/>
      </left>
      <right/>
      <top/>
      <bottom/>
    </border>
    <border>
      <left/>
      <right style="thin"/>
      <top/>
      <bottom style="thin"/>
    </border>
    <border>
      <left/>
      <right style="medium"/>
      <top style="thin"/>
      <bottom/>
    </border>
    <border>
      <left style="medium"/>
      <right/>
      <top style="thin"/>
      <bottom/>
    </border>
  </borders>
  <cellStyleXfs count="45">
    <xf numFmtId="0"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0" fontId="2"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 fillId="0" borderId="0">
      <alignment/>
      <protection/>
    </xf>
    <xf numFmtId="0" fontId="8" fillId="0" borderId="0" applyNumberFormat="0" applyFill="0" applyBorder="0" applyAlignment="0" applyProtection="0"/>
    <xf numFmtId="0" fontId="10" fillId="0" borderId="0">
      <alignment/>
      <protection/>
    </xf>
    <xf numFmtId="0" fontId="2" fillId="0" borderId="0">
      <alignment/>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protection/>
    </xf>
    <xf numFmtId="0" fontId="1" fillId="0" borderId="0">
      <alignment/>
      <protection/>
    </xf>
    <xf numFmtId="0" fontId="1" fillId="0" borderId="0">
      <alignment wrapText="1"/>
      <protection/>
    </xf>
    <xf numFmtId="0" fontId="1" fillId="0" borderId="0">
      <alignment wrapText="1"/>
      <protection/>
    </xf>
  </cellStyleXfs>
  <cellXfs count="696">
    <xf numFmtId="0" fontId="0" fillId="0" borderId="0" xfId="0"/>
    <xf numFmtId="0" fontId="9" fillId="0" borderId="0" xfId="0" applyFont="1" applyBorder="1" applyAlignment="1">
      <alignment vertical="top" wrapText="1"/>
    </xf>
    <xf numFmtId="0" fontId="12" fillId="0" borderId="0" xfId="32" applyFont="1"/>
    <xf numFmtId="0" fontId="13" fillId="0" borderId="0" xfId="0" applyFont="1" applyBorder="1"/>
    <xf numFmtId="0" fontId="13" fillId="0" borderId="0" xfId="0" applyFont="1"/>
    <xf numFmtId="0" fontId="14" fillId="0" borderId="0" xfId="0" applyFont="1"/>
    <xf numFmtId="0" fontId="14" fillId="0" borderId="0" xfId="0" applyFont="1" applyBorder="1"/>
    <xf numFmtId="0" fontId="1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14" fillId="0" borderId="0" xfId="0" applyFont="1" applyFill="1" applyAlignment="1">
      <alignment/>
    </xf>
    <xf numFmtId="166" fontId="14" fillId="0" borderId="0" xfId="0" applyNumberFormat="1" applyFont="1" applyBorder="1" applyAlignment="1">
      <alignment wrapText="1"/>
    </xf>
    <xf numFmtId="0" fontId="13" fillId="0" borderId="0" xfId="0" applyFont="1" applyBorder="1" applyAlignment="1">
      <alignment horizontal="center"/>
    </xf>
    <xf numFmtId="49" fontId="16" fillId="0" borderId="0" xfId="0" applyNumberFormat="1" applyFont="1" applyBorder="1" applyAlignment="1">
      <alignment wrapText="1"/>
    </xf>
    <xf numFmtId="166" fontId="13" fillId="0" borderId="0" xfId="0" applyNumberFormat="1" applyFont="1" applyBorder="1" applyAlignment="1">
      <alignment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xf numFmtId="0" fontId="20" fillId="0" borderId="0" xfId="0" applyFont="1" applyAlignment="1">
      <alignment/>
    </xf>
    <xf numFmtId="0" fontId="21" fillId="0" borderId="0" xfId="0" applyFont="1" applyBorder="1"/>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Alignment="1">
      <alignment wrapText="1"/>
    </xf>
    <xf numFmtId="0" fontId="14"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164" fontId="14" fillId="0" borderId="4" xfId="0" applyNumberFormat="1" applyFont="1" applyBorder="1" applyAlignment="1">
      <alignment horizontal="right" wrapText="1"/>
    </xf>
    <xf numFmtId="164" fontId="14" fillId="0" borderId="0" xfId="0" applyNumberFormat="1" applyFont="1" applyBorder="1" applyAlignment="1">
      <alignment horizontal="right" wrapText="1"/>
    </xf>
    <xf numFmtId="164" fontId="14" fillId="0" borderId="4" xfId="0" applyNumberFormat="1" applyFont="1" applyBorder="1" applyAlignment="1">
      <alignment horizontal="right" wrapText="1"/>
    </xf>
    <xf numFmtId="49" fontId="26" fillId="0" borderId="0" xfId="20" applyNumberFormat="1" applyFont="1" applyBorder="1" applyAlignment="1">
      <alignment/>
      <protection/>
    </xf>
    <xf numFmtId="164" fontId="14" fillId="0" borderId="4" xfId="0" applyNumberFormat="1" applyFont="1" applyBorder="1" applyAlignment="1">
      <alignment wrapText="1"/>
    </xf>
    <xf numFmtId="164" fontId="14" fillId="0" borderId="0" xfId="0" applyNumberFormat="1" applyFont="1" applyBorder="1" applyAlignment="1">
      <alignment wrapText="1"/>
    </xf>
    <xf numFmtId="164" fontId="14" fillId="0" borderId="4" xfId="0" applyNumberFormat="1" applyFont="1" applyBorder="1" applyAlignment="1">
      <alignment wrapText="1"/>
    </xf>
    <xf numFmtId="164" fontId="13" fillId="0" borderId="4" xfId="0" applyNumberFormat="1" applyFont="1" applyBorder="1" applyAlignment="1">
      <alignment wrapText="1"/>
    </xf>
    <xf numFmtId="164" fontId="13" fillId="0" borderId="0" xfId="0" applyNumberFormat="1" applyFont="1" applyBorder="1" applyAlignment="1">
      <alignment wrapText="1"/>
    </xf>
    <xf numFmtId="164" fontId="13" fillId="0" borderId="4" xfId="0" applyNumberFormat="1" applyFont="1" applyBorder="1" applyAlignment="1">
      <alignment wrapText="1"/>
    </xf>
    <xf numFmtId="49" fontId="16" fillId="0" borderId="0" xfId="0" applyNumberFormat="1" applyFont="1" applyBorder="1"/>
    <xf numFmtId="0" fontId="13" fillId="0" borderId="4" xfId="0" applyFont="1" applyBorder="1" applyAlignment="1">
      <alignment/>
    </xf>
    <xf numFmtId="0" fontId="13" fillId="0" borderId="0" xfId="0" applyFont="1" applyBorder="1" applyAlignment="1">
      <alignment/>
    </xf>
    <xf numFmtId="0" fontId="13" fillId="0" borderId="4" xfId="0" applyFont="1" applyBorder="1" applyAlignment="1">
      <alignment/>
    </xf>
    <xf numFmtId="166" fontId="13" fillId="0" borderId="0" xfId="0" applyNumberFormat="1" applyFont="1"/>
    <xf numFmtId="0" fontId="34" fillId="0" borderId="0" xfId="0" applyFont="1"/>
    <xf numFmtId="0" fontId="30" fillId="0" borderId="0" xfId="0" applyFont="1" applyBorder="1" applyAlignment="1">
      <alignment vertical="center" wrapText="1"/>
    </xf>
    <xf numFmtId="0" fontId="34" fillId="0" borderId="0" xfId="0" applyFont="1" applyBorder="1"/>
    <xf numFmtId="0" fontId="34" fillId="0" borderId="5"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27" fillId="0" borderId="6" xfId="0" applyFont="1" applyBorder="1" applyAlignment="1">
      <alignment horizontal="left" wrapText="1"/>
    </xf>
    <xf numFmtId="0" fontId="34" fillId="0" borderId="5" xfId="0" applyFont="1" applyBorder="1" applyAlignment="1">
      <alignment horizontal="right" wrapText="1"/>
    </xf>
    <xf numFmtId="0" fontId="34" fillId="0" borderId="7" xfId="0" applyFont="1" applyBorder="1" applyAlignment="1">
      <alignment horizontal="right" wrapText="1"/>
    </xf>
    <xf numFmtId="0" fontId="34" fillId="0" borderId="4" xfId="0" applyFont="1" applyBorder="1" applyAlignment="1">
      <alignment horizontal="right" wrapText="1"/>
    </xf>
    <xf numFmtId="0" fontId="34" fillId="0" borderId="0" xfId="0" applyFont="1" applyBorder="1" applyAlignment="1">
      <alignment horizontal="right" wrapText="1"/>
    </xf>
    <xf numFmtId="0" fontId="27" fillId="0" borderId="0" xfId="0" applyFont="1" applyBorder="1" applyAlignment="1">
      <alignment horizontal="left" vertical="top" wrapText="1"/>
    </xf>
    <xf numFmtId="3" fontId="27" fillId="0" borderId="4" xfId="0" applyNumberFormat="1" applyFont="1" applyBorder="1" applyAlignment="1">
      <alignment horizontal="right" wrapText="1"/>
    </xf>
    <xf numFmtId="0" fontId="27" fillId="0" borderId="7" xfId="0" applyFont="1" applyBorder="1" applyAlignment="1">
      <alignment horizontal="right" wrapText="1"/>
    </xf>
    <xf numFmtId="165" fontId="27" fillId="0" borderId="0" xfId="0" applyNumberFormat="1" applyFont="1" applyBorder="1" applyAlignment="1">
      <alignment horizontal="right" wrapText="1"/>
    </xf>
    <xf numFmtId="0" fontId="26" fillId="0" borderId="0" xfId="0" applyFont="1" applyBorder="1" applyAlignment="1">
      <alignment horizontal="left" vertical="top" wrapText="1"/>
    </xf>
    <xf numFmtId="0" fontId="34" fillId="0" borderId="4" xfId="0" applyFont="1" applyBorder="1" applyAlignment="1">
      <alignment horizontal="right" wrapText="1"/>
    </xf>
    <xf numFmtId="1" fontId="27" fillId="0" borderId="0" xfId="0" applyNumberFormat="1" applyFont="1" applyBorder="1" applyAlignment="1">
      <alignment horizontal="right" vertical="center" wrapText="1"/>
    </xf>
    <xf numFmtId="0" fontId="27" fillId="0" borderId="4" xfId="0" applyFont="1" applyBorder="1" applyAlignment="1">
      <alignment horizontal="right" wrapText="1"/>
    </xf>
    <xf numFmtId="0" fontId="27" fillId="0" borderId="0" xfId="0" applyFont="1" applyBorder="1" applyAlignment="1">
      <alignment horizontal="right" wrapText="1"/>
    </xf>
    <xf numFmtId="49" fontId="36" fillId="0" borderId="0" xfId="0" applyNumberFormat="1" applyFont="1" applyBorder="1" applyAlignment="1">
      <alignment vertical="center"/>
    </xf>
    <xf numFmtId="0" fontId="30" fillId="0" borderId="0" xfId="0" applyFont="1" applyBorder="1"/>
    <xf numFmtId="0" fontId="27" fillId="0" borderId="4" xfId="0" applyFont="1" applyFill="1" applyBorder="1" applyAlignment="1">
      <alignment horizontal="right" wrapText="1"/>
    </xf>
    <xf numFmtId="166" fontId="34" fillId="0" borderId="0" xfId="0" applyNumberFormat="1" applyFont="1" applyBorder="1" applyAlignment="1">
      <alignment wrapText="1"/>
    </xf>
    <xf numFmtId="167" fontId="34" fillId="0" borderId="8" xfId="22" applyNumberFormat="1" applyFont="1" applyFill="1" applyBorder="1" applyAlignment="1">
      <alignment horizontal="right" vertical="center"/>
    </xf>
    <xf numFmtId="165" fontId="13" fillId="0" borderId="8" xfId="23" applyNumberFormat="1" applyFont="1" applyBorder="1">
      <alignment/>
      <protection/>
    </xf>
    <xf numFmtId="167" fontId="34" fillId="0" borderId="4" xfId="22" applyNumberFormat="1" applyFont="1" applyFill="1" applyBorder="1" applyAlignment="1">
      <alignment horizontal="right" vertical="center"/>
    </xf>
    <xf numFmtId="0" fontId="16" fillId="0" borderId="0" xfId="0" applyFont="1" applyBorder="1" applyAlignment="1">
      <alignment horizontal="left"/>
    </xf>
    <xf numFmtId="3" fontId="27" fillId="0" borderId="7" xfId="0" applyNumberFormat="1" applyFont="1" applyBorder="1" applyAlignment="1">
      <alignment horizontal="right" wrapText="1"/>
    </xf>
    <xf numFmtId="0" fontId="36" fillId="0" borderId="0" xfId="0" applyFont="1" applyBorder="1" applyAlignment="1">
      <alignment vertical="center"/>
    </xf>
    <xf numFmtId="0" fontId="27" fillId="0" borderId="8" xfId="0" applyFont="1" applyBorder="1" applyAlignment="1">
      <alignment horizontal="right" wrapText="1"/>
    </xf>
    <xf numFmtId="167" fontId="34" fillId="0" borderId="8" xfId="26" applyNumberFormat="1" applyFont="1" applyFill="1" applyBorder="1" applyAlignment="1">
      <alignment horizontal="right" vertical="center"/>
    </xf>
    <xf numFmtId="165" fontId="13" fillId="0" borderId="8" xfId="23" applyNumberFormat="1" applyFont="1" applyFill="1" applyBorder="1">
      <alignment/>
      <protection/>
    </xf>
    <xf numFmtId="0" fontId="29" fillId="0" borderId="0" xfId="0" applyFont="1" applyAlignment="1">
      <alignment horizontal="left" vertical="center" wrapText="1"/>
    </xf>
    <xf numFmtId="0" fontId="30" fillId="0" borderId="0" xfId="0" applyFont="1" applyAlignment="1">
      <alignment horizontal="left" vertical="center" wrapText="1"/>
    </xf>
    <xf numFmtId="0" fontId="34" fillId="0" borderId="9" xfId="0" applyFont="1" applyBorder="1" applyAlignment="1">
      <alignment horizontal="center" vertical="center" wrapText="1"/>
    </xf>
    <xf numFmtId="0" fontId="34" fillId="0" borderId="9" xfId="0" applyFont="1" applyBorder="1" applyAlignment="1">
      <alignment horizontal="center" wrapText="1"/>
    </xf>
    <xf numFmtId="164" fontId="27" fillId="0" borderId="4" xfId="0" applyNumberFormat="1" applyFont="1" applyBorder="1" applyAlignment="1">
      <alignment horizontal="right" wrapText="1"/>
    </xf>
    <xf numFmtId="164" fontId="27" fillId="0" borderId="8" xfId="0" applyNumberFormat="1" applyFont="1" applyBorder="1" applyAlignment="1">
      <alignment horizontal="right" wrapText="1"/>
    </xf>
    <xf numFmtId="164" fontId="13" fillId="2" borderId="4" xfId="0" applyNumberFormat="1" applyFont="1" applyFill="1" applyBorder="1" applyAlignment="1">
      <alignment horizontal="right" vertical="center" wrapText="1"/>
    </xf>
    <xf numFmtId="164" fontId="13" fillId="2" borderId="8" xfId="0" applyNumberFormat="1" applyFont="1" applyFill="1" applyBorder="1" applyAlignment="1">
      <alignment horizontal="right" vertical="center" wrapText="1"/>
    </xf>
    <xf numFmtId="0" fontId="34" fillId="0" borderId="0" xfId="0" applyFont="1" applyAlignment="1">
      <alignment horizontal="center"/>
    </xf>
    <xf numFmtId="0" fontId="27" fillId="0" borderId="8" xfId="0" applyFont="1" applyBorder="1" applyAlignment="1">
      <alignment horizontal="center" wrapText="1"/>
    </xf>
    <xf numFmtId="164" fontId="34" fillId="0" borderId="8" xfId="0" applyNumberFormat="1" applyFont="1" applyBorder="1" applyAlignment="1">
      <alignment horizontal="right"/>
    </xf>
    <xf numFmtId="164" fontId="34" fillId="0" borderId="8" xfId="0" applyNumberFormat="1" applyFont="1" applyBorder="1" applyAlignment="1">
      <alignment horizontal="right" wrapText="1"/>
    </xf>
    <xf numFmtId="164" fontId="27" fillId="0" borderId="8" xfId="0" applyNumberFormat="1" applyFont="1" applyBorder="1" applyAlignment="1">
      <alignment horizontal="right"/>
    </xf>
    <xf numFmtId="164" fontId="34" fillId="0" borderId="4" xfId="0" applyNumberFormat="1" applyFont="1" applyBorder="1" applyAlignment="1">
      <alignment horizontal="right"/>
    </xf>
    <xf numFmtId="164" fontId="27" fillId="0" borderId="4" xfId="0" applyNumberFormat="1" applyFont="1" applyBorder="1" applyAlignment="1">
      <alignment horizontal="right"/>
    </xf>
    <xf numFmtId="164" fontId="34" fillId="0" borderId="8" xfId="0" applyNumberFormat="1" applyFont="1" applyBorder="1"/>
    <xf numFmtId="164" fontId="27" fillId="0" borderId="8" xfId="0" applyNumberFormat="1" applyFont="1" applyBorder="1"/>
    <xf numFmtId="0" fontId="34" fillId="0" borderId="0" xfId="20" applyFont="1">
      <alignment/>
      <protection/>
    </xf>
    <xf numFmtId="0" fontId="16" fillId="0" borderId="0" xfId="0" applyFont="1" applyBorder="1" applyAlignment="1">
      <alignment horizontal="left" wrapText="1"/>
    </xf>
    <xf numFmtId="0" fontId="34" fillId="0" borderId="5" xfId="20" applyFont="1" applyBorder="1" applyAlignment="1">
      <alignment horizontal="center" vertical="center" wrapText="1"/>
      <protection/>
    </xf>
    <xf numFmtId="0" fontId="34" fillId="0" borderId="9" xfId="20" applyFont="1" applyBorder="1" applyAlignment="1">
      <alignment horizontal="center" vertical="center" wrapText="1"/>
      <protection/>
    </xf>
    <xf numFmtId="165" fontId="27" fillId="0" borderId="4" xfId="0" applyNumberFormat="1" applyFont="1" applyBorder="1" applyAlignment="1">
      <alignment horizontal="right" wrapText="1"/>
    </xf>
    <xf numFmtId="164" fontId="34" fillId="0" borderId="4" xfId="0" applyNumberFormat="1" applyFont="1" applyBorder="1" applyAlignment="1">
      <alignment horizontal="right" wrapText="1"/>
    </xf>
    <xf numFmtId="0" fontId="27" fillId="0" borderId="0" xfId="20" applyFont="1" applyBorder="1">
      <alignment/>
      <protection/>
    </xf>
    <xf numFmtId="0" fontId="27" fillId="0" borderId="4" xfId="20" applyFont="1" applyBorder="1" applyAlignment="1">
      <alignment horizontal="right"/>
      <protection/>
    </xf>
    <xf numFmtId="0" fontId="27" fillId="0" borderId="8" xfId="20" applyFont="1" applyBorder="1" applyAlignment="1">
      <alignment horizontal="right"/>
      <protection/>
    </xf>
    <xf numFmtId="164" fontId="34" fillId="0" borderId="4" xfId="20" applyNumberFormat="1" applyFont="1" applyBorder="1" applyAlignment="1">
      <alignment horizontal="right"/>
      <protection/>
    </xf>
    <xf numFmtId="164" fontId="34" fillId="0" borderId="8" xfId="20" applyNumberFormat="1" applyFont="1" applyBorder="1" applyAlignment="1">
      <alignment horizontal="right"/>
      <protection/>
    </xf>
    <xf numFmtId="0" fontId="34" fillId="0" borderId="0" xfId="20" applyFont="1" applyBorder="1">
      <alignment/>
      <protection/>
    </xf>
    <xf numFmtId="0" fontId="27" fillId="0" borderId="0" xfId="0" applyFont="1" applyBorder="1" applyAlignment="1">
      <alignment horizontal="center" wrapText="1"/>
    </xf>
    <xf numFmtId="165" fontId="27" fillId="0" borderId="8" xfId="0" applyNumberFormat="1" applyFont="1" applyBorder="1" applyAlignment="1">
      <alignment horizontal="right" wrapText="1"/>
    </xf>
    <xf numFmtId="165" fontId="34" fillId="0" borderId="4" xfId="20" applyNumberFormat="1" applyFont="1" applyBorder="1" applyAlignment="1">
      <alignment horizontal="right"/>
      <protection/>
    </xf>
    <xf numFmtId="165" fontId="34" fillId="0" borderId="8" xfId="20" applyNumberFormat="1" applyFont="1" applyBorder="1" applyAlignment="1">
      <alignment horizontal="right"/>
      <protection/>
    </xf>
    <xf numFmtId="166" fontId="34" fillId="0" borderId="0" xfId="20" applyNumberFormat="1" applyFont="1" applyBorder="1" applyAlignment="1">
      <alignment horizontal="center"/>
      <protection/>
    </xf>
    <xf numFmtId="0" fontId="16" fillId="0" borderId="0" xfId="0" applyFont="1" applyAlignment="1">
      <alignment horizontal="justify" vertical="center"/>
    </xf>
    <xf numFmtId="0" fontId="22" fillId="0" borderId="0" xfId="0" applyFont="1" applyBorder="1" applyAlignment="1">
      <alignment horizontal="left" wrapText="1"/>
    </xf>
    <xf numFmtId="3" fontId="34" fillId="0" borderId="8" xfId="31" applyNumberFormat="1" applyFont="1" applyBorder="1">
      <alignment/>
      <protection/>
    </xf>
    <xf numFmtId="165" fontId="13" fillId="0" borderId="8" xfId="0" applyNumberFormat="1" applyFont="1" applyBorder="1"/>
    <xf numFmtId="164" fontId="34" fillId="0" borderId="8" xfId="31" applyNumberFormat="1" applyFont="1" applyBorder="1">
      <alignment/>
      <protection/>
    </xf>
    <xf numFmtId="3" fontId="34" fillId="0" borderId="4" xfId="31" applyNumberFormat="1" applyFont="1" applyBorder="1">
      <alignment/>
      <protection/>
    </xf>
    <xf numFmtId="164" fontId="34" fillId="0" borderId="4" xfId="31" applyNumberFormat="1" applyFont="1" applyBorder="1">
      <alignment/>
      <protection/>
    </xf>
    <xf numFmtId="164" fontId="27" fillId="0" borderId="8" xfId="0" applyNumberFormat="1" applyFont="1" applyBorder="1" applyAlignment="1">
      <alignment horizontal="right" wrapText="1"/>
    </xf>
    <xf numFmtId="164" fontId="34" fillId="0" borderId="8" xfId="31" applyNumberFormat="1" applyFont="1" applyBorder="1">
      <alignment/>
      <protection/>
    </xf>
    <xf numFmtId="3" fontId="34" fillId="0" borderId="8" xfId="31" applyNumberFormat="1" applyFont="1" applyBorder="1">
      <alignment/>
      <protection/>
    </xf>
    <xf numFmtId="0" fontId="13" fillId="0" borderId="0" xfId="0" applyFont="1" applyAlignment="1">
      <alignment horizontal="left" vertical="top" wrapText="1"/>
    </xf>
    <xf numFmtId="166" fontId="27" fillId="0" borderId="0" xfId="0" applyNumberFormat="1" applyFont="1" applyBorder="1" applyAlignment="1">
      <alignment horizontal="left" wrapText="1"/>
    </xf>
    <xf numFmtId="166" fontId="26" fillId="0" borderId="0" xfId="0" applyNumberFormat="1" applyFont="1" applyBorder="1" applyAlignment="1">
      <alignment horizontal="left" wrapText="1"/>
    </xf>
    <xf numFmtId="0" fontId="13" fillId="0" borderId="10" xfId="0" applyFont="1" applyBorder="1" applyAlignment="1">
      <alignment horizontal="right" vertical="center" wrapText="1"/>
    </xf>
    <xf numFmtId="165" fontId="13" fillId="0" borderId="0" xfId="0" applyNumberFormat="1" applyFont="1" applyAlignment="1">
      <alignment horizontal="right" vertical="center" wrapText="1"/>
    </xf>
    <xf numFmtId="165" fontId="34" fillId="0" borderId="8" xfId="0" applyNumberFormat="1" applyFont="1" applyBorder="1" applyAlignment="1">
      <alignment horizontal="right"/>
    </xf>
    <xf numFmtId="165" fontId="34" fillId="0" borderId="8" xfId="0" applyNumberFormat="1" applyFont="1" applyBorder="1" applyAlignment="1">
      <alignment horizontal="right" wrapText="1"/>
    </xf>
    <xf numFmtId="165" fontId="27" fillId="0" borderId="8" xfId="0" applyNumberFormat="1" applyFont="1" applyBorder="1" applyAlignment="1">
      <alignment horizontal="right"/>
    </xf>
    <xf numFmtId="165" fontId="34" fillId="0" borderId="4" xfId="0" applyNumberFormat="1" applyFont="1" applyBorder="1" applyAlignment="1">
      <alignment horizontal="right"/>
    </xf>
    <xf numFmtId="165" fontId="27" fillId="0" borderId="4" xfId="0" applyNumberFormat="1" applyFont="1" applyBorder="1" applyAlignment="1">
      <alignment horizontal="right"/>
    </xf>
    <xf numFmtId="0" fontId="28" fillId="0" borderId="0" xfId="20" applyFont="1">
      <alignment/>
      <protection/>
    </xf>
    <xf numFmtId="164" fontId="27" fillId="0" borderId="4" xfId="20" applyNumberFormat="1" applyFont="1" applyBorder="1" applyAlignment="1">
      <alignment horizontal="right"/>
      <protection/>
    </xf>
    <xf numFmtId="164" fontId="27" fillId="0" borderId="8" xfId="20" applyNumberFormat="1" applyFont="1" applyBorder="1" applyAlignment="1">
      <alignment horizontal="right"/>
      <protection/>
    </xf>
    <xf numFmtId="164" fontId="34" fillId="0" borderId="8" xfId="20" applyNumberFormat="1" applyFont="1" applyBorder="1" applyAlignment="1">
      <alignment horizontal="right"/>
      <protection/>
    </xf>
    <xf numFmtId="164" fontId="34" fillId="0" borderId="4" xfId="20" applyNumberFormat="1" applyFont="1" applyBorder="1" applyAlignment="1">
      <alignment horizontal="right"/>
      <protection/>
    </xf>
    <xf numFmtId="166" fontId="26" fillId="0" borderId="0" xfId="0" applyNumberFormat="1" applyFont="1" applyBorder="1" applyAlignment="1">
      <alignment horizontal="left" vertical="top" wrapText="1"/>
    </xf>
    <xf numFmtId="165" fontId="34" fillId="0" borderId="0" xfId="20" applyNumberFormat="1" applyFont="1" applyBorder="1" applyAlignment="1">
      <alignment horizontal="right"/>
      <protection/>
    </xf>
    <xf numFmtId="165" fontId="34" fillId="0" borderId="8" xfId="20" applyNumberFormat="1" applyFont="1" applyBorder="1" applyAlignment="1">
      <alignment horizontal="right"/>
      <protection/>
    </xf>
    <xf numFmtId="165" fontId="34" fillId="0" borderId="4" xfId="20" applyNumberFormat="1" applyFont="1" applyBorder="1" applyAlignment="1">
      <alignment horizontal="right"/>
      <protection/>
    </xf>
    <xf numFmtId="3" fontId="27" fillId="0" borderId="8" xfId="0" applyNumberFormat="1" applyFont="1" applyBorder="1" applyAlignment="1">
      <alignment horizontal="right" wrapText="1"/>
    </xf>
    <xf numFmtId="3" fontId="34" fillId="0" borderId="7" xfId="0" applyNumberFormat="1" applyFont="1" applyBorder="1" applyAlignment="1">
      <alignment horizontal="right" wrapText="1"/>
    </xf>
    <xf numFmtId="3" fontId="34" fillId="0" borderId="4" xfId="0" applyNumberFormat="1" applyFont="1" applyBorder="1" applyAlignment="1">
      <alignment horizontal="right" wrapText="1"/>
    </xf>
    <xf numFmtId="3" fontId="34" fillId="0" borderId="8" xfId="0" applyNumberFormat="1" applyFont="1" applyBorder="1" applyAlignment="1">
      <alignment horizontal="right" wrapText="1"/>
    </xf>
    <xf numFmtId="3" fontId="34" fillId="0" borderId="4" xfId="20" applyNumberFormat="1" applyFont="1" applyBorder="1" applyAlignment="1">
      <alignment horizontal="right"/>
      <protection/>
    </xf>
    <xf numFmtId="3" fontId="34" fillId="0" borderId="8" xfId="20" applyNumberFormat="1" applyFont="1" applyBorder="1" applyAlignment="1">
      <alignment horizontal="right"/>
      <protection/>
    </xf>
    <xf numFmtId="0" fontId="34" fillId="0" borderId="4" xfId="20" applyFont="1" applyBorder="1" applyAlignment="1">
      <alignment horizontal="right"/>
      <protection/>
    </xf>
    <xf numFmtId="0" fontId="34" fillId="0" borderId="8" xfId="20" applyFont="1" applyBorder="1" applyAlignment="1">
      <alignment horizontal="right"/>
      <protection/>
    </xf>
    <xf numFmtId="0" fontId="34" fillId="0" borderId="0" xfId="20" applyFont="1" applyBorder="1" applyAlignment="1">
      <alignment horizontal="right"/>
      <protection/>
    </xf>
    <xf numFmtId="166" fontId="26" fillId="0" borderId="0" xfId="20" applyNumberFormat="1" applyFont="1" applyBorder="1" applyAlignment="1">
      <alignment horizontal="center"/>
      <protection/>
    </xf>
    <xf numFmtId="0" fontId="34" fillId="0" borderId="1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0" xfId="0" applyNumberFormat="1" applyFont="1" applyFill="1" applyBorder="1" applyAlignment="1">
      <alignment vertical="center" wrapText="1"/>
    </xf>
    <xf numFmtId="49" fontId="30" fillId="0" borderId="0" xfId="0" applyNumberFormat="1" applyFont="1" applyFill="1" applyBorder="1" applyAlignment="1">
      <alignment vertical="center" wrapText="1"/>
    </xf>
    <xf numFmtId="166" fontId="29" fillId="0" borderId="0" xfId="0" applyNumberFormat="1" applyFont="1" applyFill="1" applyBorder="1" applyAlignment="1">
      <alignment horizontal="left" vertical="center" wrapText="1" indent="1"/>
    </xf>
    <xf numFmtId="49" fontId="30" fillId="0" borderId="0" xfId="0" applyNumberFormat="1" applyFont="1" applyFill="1" applyBorder="1" applyAlignment="1">
      <alignment horizontal="left" vertical="center" wrapText="1" indent="1"/>
    </xf>
    <xf numFmtId="49" fontId="29" fillId="0" borderId="0" xfId="0" applyNumberFormat="1" applyFont="1" applyFill="1" applyBorder="1" applyAlignment="1">
      <alignment vertical="center" wrapText="1"/>
    </xf>
    <xf numFmtId="166" fontId="29" fillId="0" borderId="0" xfId="0" applyNumberFormat="1" applyFont="1" applyFill="1" applyBorder="1" applyAlignment="1">
      <alignment vertical="center" wrapText="1"/>
    </xf>
    <xf numFmtId="49" fontId="29" fillId="0" borderId="0" xfId="0" applyNumberFormat="1" applyFont="1" applyFill="1" applyBorder="1" applyAlignment="1">
      <alignment horizontal="left" vertical="center" wrapText="1" indent="3"/>
    </xf>
    <xf numFmtId="49" fontId="30" fillId="0" borderId="0" xfId="0" applyNumberFormat="1" applyFont="1" applyFill="1" applyBorder="1" applyAlignment="1">
      <alignment horizontal="left" vertical="center" wrapText="1" indent="3"/>
    </xf>
    <xf numFmtId="166" fontId="29" fillId="0" borderId="0" xfId="0" applyNumberFormat="1" applyFont="1" applyFill="1" applyBorder="1" applyAlignment="1">
      <alignment horizontal="left" vertical="center" wrapText="1" indent="3"/>
    </xf>
    <xf numFmtId="49" fontId="36" fillId="0" borderId="0" xfId="0" applyNumberFormat="1" applyFont="1" applyFill="1" applyBorder="1" applyAlignment="1">
      <alignment vertical="center" wrapText="1"/>
    </xf>
    <xf numFmtId="49" fontId="36" fillId="0" borderId="0" xfId="0" applyNumberFormat="1" applyFont="1" applyFill="1" applyBorder="1" applyAlignment="1">
      <alignment horizontal="left" vertical="center" wrapText="1"/>
    </xf>
    <xf numFmtId="0" fontId="34" fillId="0" borderId="8" xfId="0" applyFont="1" applyBorder="1"/>
    <xf numFmtId="165" fontId="34" fillId="0" borderId="8" xfId="0" applyNumberFormat="1" applyFont="1" applyBorder="1"/>
    <xf numFmtId="0" fontId="27" fillId="0" borderId="8" xfId="0" applyFont="1" applyBorder="1"/>
    <xf numFmtId="0" fontId="27" fillId="0" borderId="7" xfId="0" applyFont="1" applyBorder="1" applyAlignment="1">
      <alignment horizontal="left" vertical="top" wrapText="1"/>
    </xf>
    <xf numFmtId="164" fontId="27" fillId="0" borderId="0" xfId="0" applyNumberFormat="1" applyFont="1" applyBorder="1" applyAlignment="1">
      <alignment horizontal="right" wrapText="1"/>
    </xf>
    <xf numFmtId="3" fontId="34" fillId="0" borderId="4" xfId="0" applyNumberFormat="1" applyFont="1" applyBorder="1"/>
    <xf numFmtId="0" fontId="34" fillId="0" borderId="4" xfId="0" applyFont="1" applyBorder="1"/>
    <xf numFmtId="3" fontId="13" fillId="0" borderId="4" xfId="0" applyNumberFormat="1" applyFont="1" applyBorder="1"/>
    <xf numFmtId="165" fontId="34" fillId="0" borderId="4" xfId="0" applyNumberFormat="1" applyFont="1" applyBorder="1"/>
    <xf numFmtId="0" fontId="34" fillId="0" borderId="0" xfId="20" applyFont="1" applyBorder="1" applyAlignment="1">
      <alignment horizontal="center" vertical="center" wrapText="1"/>
      <protection/>
    </xf>
    <xf numFmtId="0" fontId="34" fillId="0" borderId="6" xfId="20" applyFont="1" applyBorder="1" applyAlignment="1">
      <alignment horizontal="center" vertical="center" wrapText="1"/>
      <protection/>
    </xf>
    <xf numFmtId="0" fontId="13" fillId="0" borderId="0" xfId="0" applyFont="1" applyAlignment="1">
      <alignment horizontal="left" wrapText="1"/>
    </xf>
    <xf numFmtId="3" fontId="36" fillId="0" borderId="4" xfId="0" applyNumberFormat="1" applyFont="1" applyBorder="1"/>
    <xf numFmtId="3" fontId="29" fillId="0" borderId="4" xfId="0" applyNumberFormat="1" applyFont="1" applyBorder="1"/>
    <xf numFmtId="0" fontId="29" fillId="0" borderId="4" xfId="0" applyFont="1" applyBorder="1" applyAlignment="1">
      <alignment horizontal="right" vertical="center" wrapText="1"/>
    </xf>
    <xf numFmtId="0" fontId="16" fillId="0" borderId="12" xfId="0" applyFont="1" applyBorder="1" applyAlignment="1">
      <alignment horizontal="left" wrapText="1"/>
    </xf>
    <xf numFmtId="0" fontId="29" fillId="0" borderId="8" xfId="0" applyFont="1" applyBorder="1" applyAlignment="1">
      <alignment horizontal="right" vertical="center" wrapText="1"/>
    </xf>
    <xf numFmtId="0" fontId="29" fillId="0" borderId="8" xfId="0" applyFont="1" applyBorder="1" applyAlignment="1">
      <alignment horizontal="right" vertical="center" wrapText="1"/>
    </xf>
    <xf numFmtId="0" fontId="34" fillId="0" borderId="8" xfId="0" applyFont="1" applyBorder="1" applyAlignment="1">
      <alignment horizontal="right" wrapText="1"/>
    </xf>
    <xf numFmtId="3" fontId="34" fillId="0" borderId="8" xfId="20" applyNumberFormat="1" applyFont="1" applyBorder="1" applyAlignment="1">
      <alignment horizontal="right"/>
      <protection/>
    </xf>
    <xf numFmtId="0" fontId="34" fillId="0" borderId="8" xfId="20" applyFont="1" applyBorder="1" applyAlignment="1">
      <alignment horizontal="right"/>
      <protection/>
    </xf>
    <xf numFmtId="166" fontId="14" fillId="0" borderId="0" xfId="0" applyNumberFormat="1" applyFont="1" applyBorder="1" applyAlignment="1">
      <alignment vertical="center" wrapText="1"/>
    </xf>
    <xf numFmtId="0" fontId="36" fillId="0" borderId="4" xfId="0" applyFont="1" applyBorder="1" applyAlignment="1">
      <alignment horizontal="right" wrapText="1"/>
    </xf>
    <xf numFmtId="3" fontId="36" fillId="0" borderId="4" xfId="0" applyNumberFormat="1" applyFont="1" applyBorder="1" applyAlignment="1">
      <alignment horizontal="right" wrapText="1"/>
    </xf>
    <xf numFmtId="165" fontId="36" fillId="0" borderId="4" xfId="0" applyNumberFormat="1" applyFont="1" applyBorder="1" applyAlignment="1">
      <alignment horizontal="right" wrapText="1"/>
    </xf>
    <xf numFmtId="0" fontId="14" fillId="0" borderId="4" xfId="0" applyFont="1" applyBorder="1" applyAlignment="1">
      <alignment horizontal="right" wrapText="1"/>
    </xf>
    <xf numFmtId="0" fontId="16" fillId="0" borderId="0" xfId="0" applyFont="1" applyBorder="1"/>
    <xf numFmtId="49" fontId="13" fillId="0" borderId="0" xfId="0" applyNumberFormat="1" applyFont="1" applyBorder="1" applyAlignment="1">
      <alignment vertical="center" wrapText="1"/>
    </xf>
    <xf numFmtId="0" fontId="29" fillId="0" borderId="4" xfId="0" applyFont="1" applyBorder="1" applyAlignment="1">
      <alignment horizontal="right" wrapText="1"/>
    </xf>
    <xf numFmtId="164" fontId="29" fillId="0" borderId="4" xfId="0" applyNumberFormat="1" applyFont="1" applyBorder="1" applyAlignment="1">
      <alignment horizontal="right" wrapText="1"/>
    </xf>
    <xf numFmtId="0" fontId="16" fillId="0" borderId="0" xfId="0" applyFont="1" applyBorder="1" applyAlignment="1">
      <alignment vertical="center" wrapText="1"/>
    </xf>
    <xf numFmtId="166" fontId="13" fillId="0" borderId="0" xfId="0" applyNumberFormat="1" applyFont="1" applyBorder="1" applyAlignment="1">
      <alignment vertical="center" wrapText="1"/>
    </xf>
    <xf numFmtId="165" fontId="29" fillId="0" borderId="4" xfId="0" applyNumberFormat="1" applyFont="1" applyBorder="1" applyAlignment="1">
      <alignment horizontal="right" wrapText="1"/>
    </xf>
    <xf numFmtId="0" fontId="36" fillId="0" borderId="4" xfId="0" applyFont="1" applyBorder="1" applyAlignment="1">
      <alignment horizontal="right" vertical="center" wrapText="1"/>
    </xf>
    <xf numFmtId="3" fontId="36" fillId="0" borderId="4" xfId="0" applyNumberFormat="1" applyFont="1" applyBorder="1" applyAlignment="1">
      <alignment horizontal="right" vertical="center" wrapText="1"/>
    </xf>
    <xf numFmtId="165" fontId="36" fillId="0" borderId="4" xfId="0" applyNumberFormat="1" applyFont="1" applyBorder="1" applyAlignment="1">
      <alignment horizontal="right" vertical="center" wrapText="1"/>
    </xf>
    <xf numFmtId="0" fontId="15" fillId="0" borderId="0" xfId="0" applyFont="1" applyAlignment="1">
      <alignment horizontal="left"/>
    </xf>
    <xf numFmtId="0" fontId="14" fillId="0" borderId="0" xfId="0" applyFont="1" applyAlignment="1">
      <alignment horizontal="left"/>
    </xf>
    <xf numFmtId="0" fontId="14" fillId="0" borderId="0" xfId="0" applyFont="1" applyBorder="1" applyAlignment="1">
      <alignment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8" xfId="0" applyFont="1" applyBorder="1" applyAlignment="1">
      <alignment horizontal="center" vertical="center" wrapText="1"/>
    </xf>
    <xf numFmtId="3" fontId="14" fillId="0" borderId="4" xfId="0" applyNumberFormat="1" applyFont="1" applyBorder="1" applyAlignment="1">
      <alignment horizontal="right" wrapText="1"/>
    </xf>
    <xf numFmtId="164" fontId="14" fillId="0" borderId="8" xfId="0" applyNumberFormat="1" applyFont="1" applyBorder="1" applyAlignment="1">
      <alignment horizontal="right" wrapText="1"/>
    </xf>
    <xf numFmtId="49" fontId="26" fillId="0" borderId="0" xfId="20" applyNumberFormat="1" applyFont="1" applyBorder="1">
      <alignment/>
      <protection/>
    </xf>
    <xf numFmtId="3" fontId="14" fillId="0" borderId="4" xfId="0" applyNumberFormat="1" applyFont="1" applyBorder="1" applyAlignment="1">
      <alignment wrapText="1"/>
    </xf>
    <xf numFmtId="164" fontId="14" fillId="0" borderId="8" xfId="0" applyNumberFormat="1" applyFont="1" applyBorder="1" applyAlignment="1">
      <alignment wrapText="1"/>
    </xf>
    <xf numFmtId="164" fontId="13" fillId="0" borderId="8" xfId="0" applyNumberFormat="1" applyFont="1" applyBorder="1" applyAlignment="1">
      <alignment wrapText="1"/>
    </xf>
    <xf numFmtId="0" fontId="13" fillId="0" borderId="8" xfId="0" applyFont="1" applyBorder="1" applyAlignment="1">
      <alignment/>
    </xf>
    <xf numFmtId="0" fontId="13" fillId="0" borderId="8" xfId="0" applyFont="1" applyBorder="1" applyAlignment="1">
      <alignment/>
    </xf>
    <xf numFmtId="0" fontId="27" fillId="0" borderId="7" xfId="0" applyFont="1" applyBorder="1" applyAlignment="1">
      <alignment horizontal="left" wrapText="1"/>
    </xf>
    <xf numFmtId="164" fontId="27" fillId="0" borderId="9" xfId="0" applyNumberFormat="1" applyFont="1" applyBorder="1" applyAlignment="1">
      <alignment horizontal="right" wrapText="1"/>
    </xf>
    <xf numFmtId="0" fontId="34" fillId="0" borderId="8" xfId="0" applyFont="1" applyBorder="1" applyAlignment="1">
      <alignment horizontal="right" wrapText="1"/>
    </xf>
    <xf numFmtId="0" fontId="27" fillId="0" borderId="8" xfId="0" applyFont="1" applyBorder="1" applyAlignment="1">
      <alignment horizontal="right" wrapText="1"/>
    </xf>
    <xf numFmtId="0" fontId="27" fillId="0" borderId="8" xfId="0" applyFont="1" applyFill="1" applyBorder="1" applyAlignment="1">
      <alignment horizontal="right" wrapText="1"/>
    </xf>
    <xf numFmtId="164" fontId="34" fillId="0" borderId="4" xfId="0" applyNumberFormat="1" applyFont="1" applyFill="1" applyBorder="1"/>
    <xf numFmtId="164" fontId="34" fillId="0" borderId="8" xfId="0" applyNumberFormat="1" applyFont="1" applyFill="1" applyBorder="1"/>
    <xf numFmtId="0" fontId="34" fillId="0" borderId="0" xfId="0" applyFont="1" applyFill="1" applyBorder="1"/>
    <xf numFmtId="0" fontId="34" fillId="0" borderId="0" xfId="0" applyFont="1" applyFill="1" applyBorder="1" applyAlignment="1">
      <alignment horizontal="right" wrapText="1"/>
    </xf>
    <xf numFmtId="165" fontId="34" fillId="0" borderId="0" xfId="0" applyNumberFormat="1" applyFont="1" applyBorder="1" applyAlignment="1">
      <alignment horizontal="right" wrapText="1"/>
    </xf>
    <xf numFmtId="164" fontId="27" fillId="0" borderId="4" xfId="0" applyNumberFormat="1" applyFont="1" applyBorder="1" applyAlignment="1">
      <alignment horizontal="right" wrapText="1"/>
    </xf>
    <xf numFmtId="0" fontId="27" fillId="0" borderId="4" xfId="0" applyFont="1" applyBorder="1" applyAlignment="1">
      <alignment horizontal="right" wrapText="1"/>
    </xf>
    <xf numFmtId="164" fontId="34" fillId="3" borderId="4" xfId="0" applyNumberFormat="1" applyFont="1" applyFill="1" applyBorder="1"/>
    <xf numFmtId="165" fontId="34" fillId="0" borderId="0" xfId="0" applyNumberFormat="1" applyFont="1" applyBorder="1"/>
    <xf numFmtId="165" fontId="34" fillId="0" borderId="0" xfId="0" applyNumberFormat="1" applyFont="1"/>
    <xf numFmtId="0" fontId="27" fillId="0" borderId="0" xfId="0" applyFont="1" applyBorder="1" applyAlignment="1">
      <alignment horizontal="left" wrapText="1"/>
    </xf>
    <xf numFmtId="166" fontId="27" fillId="0" borderId="7" xfId="0" applyNumberFormat="1" applyFont="1" applyBorder="1" applyAlignment="1">
      <alignment horizontal="left" wrapText="1"/>
    </xf>
    <xf numFmtId="165" fontId="27" fillId="0" borderId="7" xfId="0" applyNumberFormat="1" applyFont="1" applyBorder="1" applyAlignment="1">
      <alignment horizontal="right" wrapText="1"/>
    </xf>
    <xf numFmtId="164" fontId="34" fillId="0" borderId="4" xfId="0" applyNumberFormat="1" applyFont="1" applyBorder="1"/>
    <xf numFmtId="165" fontId="34" fillId="0" borderId="7" xfId="0" applyNumberFormat="1" applyFont="1" applyBorder="1"/>
    <xf numFmtId="0" fontId="16" fillId="0" borderId="12" xfId="0" applyFont="1" applyBorder="1" applyAlignment="1">
      <alignment horizontal="left" vertical="center" wrapText="1"/>
    </xf>
    <xf numFmtId="0" fontId="34" fillId="0" borderId="7" xfId="20" applyFont="1" applyBorder="1" applyAlignment="1">
      <alignment horizontal="center" vertical="center" wrapText="1"/>
      <protection/>
    </xf>
    <xf numFmtId="0" fontId="34" fillId="0" borderId="13" xfId="20" applyFont="1" applyBorder="1">
      <alignment/>
      <protection/>
    </xf>
    <xf numFmtId="0" fontId="34" fillId="0" borderId="14" xfId="20" applyFont="1" applyBorder="1" applyAlignment="1">
      <alignment wrapText="1"/>
      <protection/>
    </xf>
    <xf numFmtId="0" fontId="34" fillId="0" borderId="15" xfId="20" applyFont="1" applyBorder="1" applyAlignment="1">
      <alignment wrapText="1"/>
      <protection/>
    </xf>
    <xf numFmtId="0" fontId="16" fillId="0" borderId="0" xfId="0" applyFont="1" applyAlignment="1">
      <alignment horizontal="left"/>
    </xf>
    <xf numFmtId="0" fontId="16" fillId="0" borderId="7" xfId="0" applyFont="1" applyBorder="1" applyAlignment="1">
      <alignment horizontal="left"/>
    </xf>
    <xf numFmtId="3" fontId="27" fillId="0" borderId="4" xfId="0" applyNumberFormat="1" applyFont="1" applyBorder="1" applyAlignment="1">
      <alignment horizontal="right" wrapText="1"/>
    </xf>
    <xf numFmtId="3" fontId="27" fillId="0" borderId="8" xfId="0" applyNumberFormat="1" applyFont="1" applyBorder="1" applyAlignment="1">
      <alignment horizontal="right" wrapText="1"/>
    </xf>
    <xf numFmtId="0" fontId="34" fillId="0" borderId="0" xfId="0" applyFont="1" applyBorder="1" applyAlignment="1">
      <alignment horizontal="left" wrapText="1"/>
    </xf>
    <xf numFmtId="0" fontId="21" fillId="0" borderId="0" xfId="0" applyFont="1" applyBorder="1" applyAlignment="1">
      <alignment vertical="center" wrapText="1"/>
    </xf>
    <xf numFmtId="0" fontId="14" fillId="0" borderId="0" xfId="0" applyFont="1" applyAlignment="1">
      <alignment horizontal="left" wrapText="1"/>
    </xf>
    <xf numFmtId="0" fontId="13" fillId="0" borderId="1" xfId="0" applyFont="1" applyBorder="1" applyAlignment="1">
      <alignment horizontal="center" vertical="center"/>
    </xf>
    <xf numFmtId="4" fontId="14" fillId="0" borderId="5" xfId="0" applyNumberFormat="1" applyFont="1" applyBorder="1" applyAlignment="1">
      <alignment horizontal="right" wrapText="1"/>
    </xf>
    <xf numFmtId="4" fontId="14" fillId="0" borderId="9" xfId="0" applyNumberFormat="1" applyFont="1" applyBorder="1" applyAlignment="1">
      <alignment horizontal="right"/>
    </xf>
    <xf numFmtId="0" fontId="14" fillId="0" borderId="7" xfId="0" applyFont="1" applyBorder="1" applyAlignment="1">
      <alignment wrapText="1"/>
    </xf>
    <xf numFmtId="4" fontId="14" fillId="0" borderId="4" xfId="0" applyNumberFormat="1" applyFont="1" applyBorder="1" applyAlignment="1">
      <alignment horizontal="right" wrapText="1"/>
    </xf>
    <xf numFmtId="4" fontId="14" fillId="0" borderId="8" xfId="0" applyNumberFormat="1" applyFont="1" applyBorder="1" applyAlignment="1">
      <alignment horizontal="right"/>
    </xf>
    <xf numFmtId="165" fontId="13" fillId="0" borderId="4" xfId="0" applyNumberFormat="1" applyFont="1" applyBorder="1" applyAlignment="1">
      <alignment wrapText="1"/>
    </xf>
    <xf numFmtId="0" fontId="13" fillId="0" borderId="4" xfId="0" applyFont="1" applyBorder="1" applyAlignment="1">
      <alignment wrapText="1"/>
    </xf>
    <xf numFmtId="0" fontId="13" fillId="0" borderId="8" xfId="0" applyFont="1" applyBorder="1" applyAlignment="1">
      <alignment horizontal="right"/>
    </xf>
    <xf numFmtId="0" fontId="13" fillId="0" borderId="0" xfId="0" applyFont="1" applyBorder="1" applyAlignment="1">
      <alignment vertical="center" wrapText="1"/>
    </xf>
    <xf numFmtId="2" fontId="13" fillId="0" borderId="0" xfId="0" applyNumberFormat="1" applyFont="1" applyBorder="1" applyAlignment="1">
      <alignment horizontal="center" vertical="center" wrapText="1"/>
    </xf>
    <xf numFmtId="2" fontId="13" fillId="0" borderId="0" xfId="0" applyNumberFormat="1" applyFont="1" applyBorder="1" applyAlignment="1">
      <alignment horizontal="left" vertical="center" wrapText="1"/>
    </xf>
    <xf numFmtId="0" fontId="13" fillId="0" borderId="4" xfId="0" applyFont="1" applyBorder="1" applyAlignment="1">
      <alignment horizontal="right" wrapText="1"/>
    </xf>
    <xf numFmtId="165" fontId="13" fillId="0" borderId="4" xfId="0" applyNumberFormat="1" applyFont="1" applyBorder="1" applyAlignment="1">
      <alignment horizontal="right" wrapText="1"/>
    </xf>
    <xf numFmtId="0" fontId="13" fillId="0" borderId="4" xfId="0" applyFont="1" applyBorder="1" applyAlignment="1">
      <alignment horizontal="right" vertical="center" wrapText="1"/>
    </xf>
    <xf numFmtId="0" fontId="13" fillId="0" borderId="8" xfId="0" applyFont="1" applyBorder="1" applyAlignment="1">
      <alignment horizontal="right" vertical="center"/>
    </xf>
    <xf numFmtId="0" fontId="13" fillId="0" borderId="7" xfId="0" applyFont="1" applyBorder="1" applyAlignment="1">
      <alignment vertical="center"/>
    </xf>
    <xf numFmtId="0" fontId="13" fillId="0" borderId="8" xfId="0" applyFont="1" applyBorder="1" applyAlignment="1">
      <alignment vertical="center" wrapText="1"/>
    </xf>
    <xf numFmtId="164" fontId="14" fillId="0" borderId="4" xfId="0" applyNumberFormat="1" applyFont="1" applyBorder="1" applyAlignment="1">
      <alignment horizontal="right" vertical="center" wrapText="1"/>
    </xf>
    <xf numFmtId="164" fontId="14" fillId="0" borderId="8" xfId="0" applyNumberFormat="1" applyFont="1" applyBorder="1" applyAlignment="1">
      <alignment horizontal="right" vertical="center"/>
    </xf>
    <xf numFmtId="165" fontId="13" fillId="0" borderId="4"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Alignment="1">
      <alignment horizontal="center" vertical="center" wrapText="1"/>
    </xf>
    <xf numFmtId="2" fontId="13" fillId="0" borderId="7" xfId="0" applyNumberFormat="1" applyFont="1" applyFill="1" applyBorder="1" applyAlignment="1">
      <alignment horizontal="center" vertical="center" wrapText="1"/>
    </xf>
    <xf numFmtId="0" fontId="13" fillId="0" borderId="0" xfId="0" applyFont="1" applyAlignment="1">
      <alignment horizontal="center" vertical="center" wrapText="1"/>
    </xf>
    <xf numFmtId="2" fontId="13" fillId="0" borderId="7" xfId="0" applyNumberFormat="1" applyFont="1" applyBorder="1" applyAlignment="1">
      <alignment horizontal="center" vertical="center" wrapText="1"/>
    </xf>
    <xf numFmtId="165" fontId="13" fillId="0" borderId="4" xfId="0" applyNumberFormat="1" applyFont="1" applyBorder="1" applyAlignment="1">
      <alignment horizontal="right" vertical="center" wrapText="1"/>
    </xf>
    <xf numFmtId="165" fontId="13" fillId="0" borderId="8" xfId="0" applyNumberFormat="1" applyFont="1" applyBorder="1" applyAlignment="1">
      <alignment horizontal="right" vertical="center"/>
    </xf>
    <xf numFmtId="0" fontId="13" fillId="3" borderId="0" xfId="0" applyFont="1" applyFill="1" applyBorder="1" applyAlignment="1">
      <alignment vertical="center" wrapText="1"/>
    </xf>
    <xf numFmtId="0" fontId="13" fillId="3" borderId="0" xfId="0" applyFont="1" applyFill="1" applyAlignment="1">
      <alignment horizontal="center" vertical="center" wrapText="1"/>
    </xf>
    <xf numFmtId="2" fontId="13" fillId="3" borderId="7"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2" fontId="13" fillId="0" borderId="7" xfId="0" applyNumberFormat="1" applyFont="1" applyBorder="1" applyAlignment="1">
      <alignment horizontal="left" vertical="center" wrapText="1"/>
    </xf>
    <xf numFmtId="165" fontId="13" fillId="0" borderId="8" xfId="0" applyNumberFormat="1" applyFont="1" applyBorder="1" applyAlignment="1">
      <alignment horizontal="right" vertical="center" wrapText="1"/>
    </xf>
    <xf numFmtId="165" fontId="13" fillId="0" borderId="8" xfId="0" applyNumberFormat="1" applyFont="1" applyBorder="1" applyAlignment="1">
      <alignment horizontal="right" vertical="center"/>
    </xf>
    <xf numFmtId="165" fontId="13" fillId="0" borderId="0" xfId="0" applyNumberFormat="1" applyFont="1" applyBorder="1" applyAlignment="1">
      <alignment horizontal="right" vertical="center" wrapText="1"/>
    </xf>
    <xf numFmtId="165" fontId="13" fillId="0" borderId="0" xfId="0" applyNumberFormat="1" applyFont="1" applyBorder="1" applyAlignment="1">
      <alignment horizontal="right" vertical="center"/>
    </xf>
    <xf numFmtId="0" fontId="30"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22" fillId="0" borderId="0" xfId="0" applyFont="1" applyAlignment="1">
      <alignment vertical="center"/>
    </xf>
    <xf numFmtId="0" fontId="33" fillId="0" borderId="4" xfId="0" applyFont="1" applyBorder="1" applyAlignment="1">
      <alignment horizontal="right" wrapText="1"/>
    </xf>
    <xf numFmtId="165" fontId="33" fillId="0" borderId="4" xfId="0" applyNumberFormat="1" applyFont="1" applyBorder="1" applyAlignment="1">
      <alignment horizontal="right"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 fontId="14" fillId="0" borderId="4" xfId="0" applyNumberFormat="1" applyFont="1" applyBorder="1" applyAlignment="1">
      <alignment horizontal="right" vertical="center" wrapText="1"/>
    </xf>
    <xf numFmtId="0" fontId="14" fillId="0" borderId="4" xfId="0" applyFont="1" applyBorder="1" applyAlignment="1">
      <alignment horizontal="right" vertical="center" wrapText="1"/>
    </xf>
    <xf numFmtId="4" fontId="14" fillId="0" borderId="4" xfId="0" applyNumberFormat="1" applyFont="1" applyBorder="1" applyAlignment="1">
      <alignment wrapText="1"/>
    </xf>
    <xf numFmtId="0" fontId="13" fillId="0" borderId="0" xfId="0" applyFont="1" applyBorder="1" applyAlignment="1">
      <alignment wrapText="1"/>
    </xf>
    <xf numFmtId="4" fontId="13" fillId="0" borderId="4" xfId="0" applyNumberFormat="1" applyFont="1" applyBorder="1" applyAlignment="1">
      <alignment wrapText="1"/>
    </xf>
    <xf numFmtId="0" fontId="16" fillId="0" borderId="0" xfId="0" applyFont="1" applyBorder="1" applyAlignment="1">
      <alignment wrapText="1"/>
    </xf>
    <xf numFmtId="166" fontId="34" fillId="0" borderId="0" xfId="0" applyNumberFormat="1" applyFont="1" applyBorder="1" applyAlignment="1">
      <alignment horizontal="left" wrapText="1"/>
    </xf>
    <xf numFmtId="4" fontId="36" fillId="0" borderId="4" xfId="0" applyNumberFormat="1" applyFont="1" applyBorder="1" applyAlignment="1">
      <alignment horizontal="right" vertical="center" wrapText="1"/>
    </xf>
    <xf numFmtId="0" fontId="26" fillId="0" borderId="0" xfId="20" applyFont="1" applyBorder="1" applyAlignment="1">
      <alignment/>
      <protection/>
    </xf>
    <xf numFmtId="4" fontId="14" fillId="0" borderId="8" xfId="0" applyNumberFormat="1" applyFont="1" applyBorder="1" applyAlignment="1">
      <alignment wrapText="1"/>
    </xf>
    <xf numFmtId="0" fontId="16" fillId="0" borderId="0" xfId="0" applyFont="1"/>
    <xf numFmtId="4" fontId="27" fillId="0" borderId="4" xfId="0" applyNumberFormat="1" applyFont="1" applyBorder="1" applyAlignment="1">
      <alignment horizontal="right" wrapText="1"/>
    </xf>
    <xf numFmtId="4" fontId="27" fillId="0" borderId="8" xfId="0" applyNumberFormat="1" applyFont="1" applyBorder="1" applyAlignment="1">
      <alignment horizontal="right" wrapText="1"/>
    </xf>
    <xf numFmtId="164" fontId="34" fillId="0" borderId="8" xfId="0" applyNumberFormat="1" applyFont="1" applyBorder="1" applyAlignment="1">
      <alignment horizontal="right" wrapText="1"/>
    </xf>
    <xf numFmtId="4" fontId="34" fillId="0" borderId="8" xfId="0" applyNumberFormat="1" applyFont="1" applyFill="1" applyBorder="1"/>
    <xf numFmtId="164" fontId="34" fillId="0" borderId="8" xfId="0" applyNumberFormat="1" applyFont="1" applyFill="1" applyBorder="1"/>
    <xf numFmtId="0" fontId="13" fillId="0" borderId="0" xfId="0" applyFont="1" applyAlignment="1">
      <alignment horizontal="justify" vertical="center"/>
    </xf>
    <xf numFmtId="0" fontId="27" fillId="0" borderId="8" xfId="0" applyFont="1" applyFill="1" applyBorder="1" applyAlignment="1">
      <alignment horizontal="right" wrapText="1"/>
    </xf>
    <xf numFmtId="164" fontId="27" fillId="0" borderId="8" xfId="0" applyNumberFormat="1" applyFont="1" applyFill="1" applyBorder="1" applyAlignment="1">
      <alignment horizontal="right" wrapText="1"/>
    </xf>
    <xf numFmtId="0" fontId="27" fillId="0" borderId="0" xfId="0" applyFont="1" applyFill="1" applyBorder="1" applyAlignment="1">
      <alignment horizontal="left" wrapText="1"/>
    </xf>
    <xf numFmtId="0" fontId="27" fillId="0" borderId="0" xfId="0" applyFont="1" applyFill="1" applyBorder="1" applyAlignment="1">
      <alignment horizontal="right" wrapText="1"/>
    </xf>
    <xf numFmtId="4" fontId="27" fillId="0" borderId="8" xfId="0" applyNumberFormat="1" applyFont="1" applyFill="1" applyBorder="1" applyAlignment="1">
      <alignment horizontal="right" wrapText="1"/>
    </xf>
    <xf numFmtId="0" fontId="26" fillId="0" borderId="0" xfId="0" applyFont="1" applyFill="1" applyBorder="1" applyAlignment="1">
      <alignment horizontal="left" wrapText="1"/>
    </xf>
    <xf numFmtId="4" fontId="13" fillId="0" borderId="4" xfId="0" applyNumberFormat="1" applyFont="1" applyFill="1" applyBorder="1" applyAlignment="1">
      <alignment horizontal="right" vertical="center" wrapText="1"/>
    </xf>
    <xf numFmtId="4" fontId="13" fillId="0" borderId="8" xfId="0" applyNumberFormat="1" applyFont="1" applyFill="1" applyBorder="1" applyAlignment="1">
      <alignment horizontal="right" vertical="center" wrapText="1"/>
    </xf>
    <xf numFmtId="0" fontId="26" fillId="0" borderId="0" xfId="0" applyFont="1" applyFill="1" applyBorder="1" applyAlignment="1">
      <alignment horizontal="left" vertical="top" wrapText="1"/>
    </xf>
    <xf numFmtId="0" fontId="27" fillId="0" borderId="8" xfId="0" applyFont="1" applyFill="1" applyBorder="1" applyAlignment="1">
      <alignment horizontal="center" wrapText="1"/>
    </xf>
    <xf numFmtId="4" fontId="27" fillId="0" borderId="8" xfId="0" applyNumberFormat="1" applyFont="1" applyFill="1" applyBorder="1" applyAlignment="1">
      <alignment wrapText="1"/>
    </xf>
    <xf numFmtId="4" fontId="34" fillId="0" borderId="8" xfId="0" applyNumberFormat="1" applyFont="1" applyBorder="1" applyAlignment="1">
      <alignment/>
    </xf>
    <xf numFmtId="4" fontId="34" fillId="0" borderId="8" xfId="0" applyNumberFormat="1" applyFont="1" applyBorder="1" applyAlignment="1">
      <alignment wrapText="1"/>
    </xf>
    <xf numFmtId="4" fontId="27" fillId="0" borderId="8" xfId="0" applyNumberFormat="1" applyFont="1" applyBorder="1" applyAlignment="1">
      <alignment/>
    </xf>
    <xf numFmtId="4" fontId="27" fillId="0" borderId="8" xfId="0" applyNumberFormat="1" applyFont="1" applyBorder="1" applyAlignment="1">
      <alignment wrapText="1"/>
    </xf>
    <xf numFmtId="4" fontId="27" fillId="0" borderId="8" xfId="0" applyNumberFormat="1" applyFont="1" applyBorder="1" applyAlignment="1">
      <alignment horizontal="right" wrapText="1"/>
    </xf>
    <xf numFmtId="4" fontId="34" fillId="0" borderId="4" xfId="0" applyNumberFormat="1" applyFont="1" applyBorder="1" applyAlignment="1">
      <alignment/>
    </xf>
    <xf numFmtId="4" fontId="27" fillId="0" borderId="4" xfId="0" applyNumberFormat="1" applyFont="1" applyBorder="1" applyAlignment="1">
      <alignment/>
    </xf>
    <xf numFmtId="4" fontId="34" fillId="0" borderId="4" xfId="0" applyNumberFormat="1" applyFont="1" applyBorder="1" applyAlignment="1">
      <alignment horizontal="right" wrapText="1"/>
    </xf>
    <xf numFmtId="4" fontId="34" fillId="0" borderId="8" xfId="0" applyNumberFormat="1" applyFont="1" applyBorder="1" applyAlignment="1">
      <alignment horizontal="right" wrapText="1"/>
    </xf>
    <xf numFmtId="4" fontId="34" fillId="0" borderId="4" xfId="20" applyNumberFormat="1" applyFont="1" applyBorder="1" applyAlignment="1">
      <alignment horizontal="right"/>
      <protection/>
    </xf>
    <xf numFmtId="4" fontId="34" fillId="0" borderId="8" xfId="20" applyNumberFormat="1" applyFont="1" applyBorder="1" applyAlignment="1">
      <alignment horizontal="right"/>
      <protection/>
    </xf>
    <xf numFmtId="4" fontId="14" fillId="0" borderId="0" xfId="0" applyNumberFormat="1" applyFont="1" applyAlignment="1">
      <alignment horizontal="right"/>
    </xf>
    <xf numFmtId="164" fontId="14" fillId="0" borderId="0" xfId="0" applyNumberFormat="1" applyFont="1" applyAlignment="1">
      <alignment horizontal="right"/>
    </xf>
    <xf numFmtId="164" fontId="34" fillId="0" borderId="7" xfId="0" applyNumberFormat="1" applyFont="1" applyBorder="1" applyAlignment="1">
      <alignment horizontal="right" wrapText="1"/>
    </xf>
    <xf numFmtId="164" fontId="27" fillId="0" borderId="7" xfId="0" applyNumberFormat="1" applyFont="1" applyBorder="1" applyAlignment="1">
      <alignment horizontal="right" wrapText="1"/>
    </xf>
    <xf numFmtId="4" fontId="34" fillId="0" borderId="4" xfId="0" applyNumberFormat="1" applyFont="1" applyBorder="1"/>
    <xf numFmtId="164" fontId="34" fillId="0" borderId="8" xfId="0" applyNumberFormat="1" applyFont="1" applyBorder="1"/>
    <xf numFmtId="4" fontId="13" fillId="0" borderId="10" xfId="0" applyNumberFormat="1" applyFont="1" applyBorder="1" applyAlignment="1">
      <alignment horizontal="right" vertical="center" wrapText="1"/>
    </xf>
    <xf numFmtId="4" fontId="13" fillId="0" borderId="0" xfId="0" applyNumberFormat="1" applyFont="1" applyAlignment="1">
      <alignment horizontal="right" vertical="center" wrapText="1"/>
    </xf>
    <xf numFmtId="4" fontId="34" fillId="0" borderId="8" xfId="0" applyNumberFormat="1" applyFont="1" applyBorder="1" applyAlignment="1">
      <alignment horizontal="right"/>
    </xf>
    <xf numFmtId="4" fontId="27" fillId="0" borderId="8" xfId="0" applyNumberFormat="1" applyFont="1" applyBorder="1" applyAlignment="1">
      <alignment horizontal="right"/>
    </xf>
    <xf numFmtId="4" fontId="27" fillId="0" borderId="4" xfId="0" applyNumberFormat="1" applyFont="1" applyBorder="1"/>
    <xf numFmtId="4" fontId="34" fillId="0" borderId="8" xfId="0" applyNumberFormat="1" applyFont="1" applyBorder="1"/>
    <xf numFmtId="4" fontId="27" fillId="0" borderId="8" xfId="0" applyNumberFormat="1" applyFont="1" applyBorder="1"/>
    <xf numFmtId="4" fontId="27" fillId="0" borderId="8" xfId="0" applyNumberFormat="1" applyFont="1" applyBorder="1"/>
    <xf numFmtId="4" fontId="27" fillId="0" borderId="7" xfId="0" applyNumberFormat="1" applyFont="1" applyBorder="1" applyAlignment="1">
      <alignment horizontal="right" wrapText="1"/>
    </xf>
    <xf numFmtId="4" fontId="34" fillId="0" borderId="7" xfId="0" applyNumberFormat="1" applyFont="1" applyBorder="1" applyAlignment="1">
      <alignment horizontal="right" wrapText="1"/>
    </xf>
    <xf numFmtId="0" fontId="34" fillId="0" borderId="16" xfId="20" applyFont="1" applyBorder="1" applyAlignment="1">
      <alignment horizontal="center" vertical="center" wrapText="1"/>
      <protection/>
    </xf>
    <xf numFmtId="0" fontId="34" fillId="0" borderId="17" xfId="20" applyFont="1" applyBorder="1" applyAlignment="1">
      <alignment horizontal="center" vertical="center" wrapText="1"/>
      <protection/>
    </xf>
    <xf numFmtId="0" fontId="26" fillId="0" borderId="0" xfId="0" applyFont="1" applyBorder="1" applyAlignment="1">
      <alignment horizontal="left" wrapText="1"/>
    </xf>
    <xf numFmtId="0" fontId="13" fillId="0" borderId="8"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wrapText="1"/>
    </xf>
    <xf numFmtId="3" fontId="13" fillId="0" borderId="4" xfId="0" applyNumberFormat="1" applyFont="1" applyBorder="1" applyAlignment="1">
      <alignment horizontal="right" wrapText="1"/>
    </xf>
    <xf numFmtId="164" fontId="13" fillId="0" borderId="4" xfId="0" applyNumberFormat="1" applyFont="1" applyBorder="1" applyAlignment="1">
      <alignment horizontal="right" wrapText="1"/>
    </xf>
    <xf numFmtId="164" fontId="13" fillId="0" borderId="8" xfId="0" applyNumberFormat="1" applyFont="1" applyBorder="1" applyAlignment="1">
      <alignment horizontal="right" wrapText="1"/>
    </xf>
    <xf numFmtId="164" fontId="14" fillId="0" borderId="8" xfId="0" applyNumberFormat="1" applyFont="1" applyBorder="1" applyAlignment="1">
      <alignment horizontal="right" wrapText="1"/>
    </xf>
    <xf numFmtId="3" fontId="13" fillId="0" borderId="4" xfId="0" applyNumberFormat="1" applyFont="1" applyBorder="1" applyAlignment="1">
      <alignment wrapText="1"/>
    </xf>
    <xf numFmtId="164" fontId="13" fillId="0" borderId="8" xfId="0" applyNumberFormat="1" applyFont="1" applyBorder="1" applyAlignment="1">
      <alignment wrapText="1"/>
    </xf>
    <xf numFmtId="0" fontId="13" fillId="0" borderId="0" xfId="0" applyFont="1" applyBorder="1" applyAlignment="1">
      <alignment vertical="top" wrapText="1"/>
    </xf>
    <xf numFmtId="164" fontId="13" fillId="0" borderId="8" xfId="0" applyNumberFormat="1" applyFont="1" applyBorder="1" applyAlignment="1">
      <alignment horizontal="right" vertical="top" wrapText="1"/>
    </xf>
    <xf numFmtId="164" fontId="13" fillId="0" borderId="8" xfId="0" applyNumberFormat="1" applyFont="1" applyBorder="1" applyAlignment="1">
      <alignment horizontal="right" vertical="top" wrapText="1"/>
    </xf>
    <xf numFmtId="0" fontId="13" fillId="0" borderId="0" xfId="0" applyFont="1" applyAlignment="1">
      <alignment vertical="top"/>
    </xf>
    <xf numFmtId="164" fontId="14" fillId="0" borderId="8" xfId="0" applyNumberFormat="1" applyFont="1" applyBorder="1" applyAlignment="1">
      <alignment wrapText="1"/>
    </xf>
    <xf numFmtId="3" fontId="13" fillId="0" borderId="4" xfId="0" applyNumberFormat="1" applyFont="1" applyBorder="1" applyAlignment="1">
      <alignment/>
    </xf>
    <xf numFmtId="164" fontId="13" fillId="0" borderId="4" xfId="0" applyNumberFormat="1" applyFont="1" applyBorder="1" applyAlignment="1">
      <alignment/>
    </xf>
    <xf numFmtId="164" fontId="13" fillId="0" borderId="8" xfId="0" applyNumberFormat="1" applyFont="1" applyBorder="1" applyAlignment="1">
      <alignment/>
    </xf>
    <xf numFmtId="3" fontId="13" fillId="0" borderId="8" xfId="0" applyNumberFormat="1" applyFont="1" applyBorder="1"/>
    <xf numFmtId="164" fontId="13" fillId="0" borderId="8" xfId="0" applyNumberFormat="1" applyFont="1" applyBorder="1"/>
    <xf numFmtId="0" fontId="13" fillId="0" borderId="8" xfId="0" applyFont="1" applyBorder="1"/>
    <xf numFmtId="3" fontId="34" fillId="0" borderId="8" xfId="0" applyNumberFormat="1" applyFont="1" applyBorder="1" applyAlignment="1">
      <alignment horizontal="right" wrapText="1"/>
    </xf>
    <xf numFmtId="165" fontId="34" fillId="0" borderId="8" xfId="0" applyNumberFormat="1" applyFont="1" applyBorder="1" applyAlignment="1">
      <alignment horizontal="right" wrapText="1"/>
    </xf>
    <xf numFmtId="0" fontId="34" fillId="0" borderId="3" xfId="0" applyFont="1" applyBorder="1" applyAlignment="1">
      <alignment horizontal="center" vertical="center" wrapText="1"/>
    </xf>
    <xf numFmtId="0" fontId="34"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21" fillId="0" borderId="18"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wrapText="1"/>
    </xf>
    <xf numFmtId="0" fontId="33" fillId="0" borderId="0" xfId="0" applyFont="1" applyBorder="1" applyAlignment="1">
      <alignment horizontal="right" wrapText="1"/>
    </xf>
    <xf numFmtId="0" fontId="33" fillId="0" borderId="8" xfId="0" applyFont="1" applyBorder="1" applyAlignment="1">
      <alignment horizontal="right" wrapText="1"/>
    </xf>
    <xf numFmtId="0" fontId="33" fillId="0" borderId="7" xfId="0" applyFont="1" applyBorder="1" applyAlignment="1">
      <alignment horizontal="right" wrapText="1"/>
    </xf>
    <xf numFmtId="4" fontId="21" fillId="0" borderId="7" xfId="0" applyNumberFormat="1" applyFont="1" applyBorder="1" applyAlignment="1">
      <alignment wrapText="1"/>
    </xf>
    <xf numFmtId="4" fontId="21" fillId="0" borderId="4" xfId="0" applyNumberFormat="1" applyFont="1" applyBorder="1" applyAlignment="1">
      <alignment wrapText="1"/>
    </xf>
    <xf numFmtId="4" fontId="21" fillId="0" borderId="0" xfId="0" applyNumberFormat="1" applyFont="1" applyBorder="1" applyAlignment="1">
      <alignment wrapText="1"/>
    </xf>
    <xf numFmtId="166" fontId="21" fillId="0" borderId="7" xfId="0" applyNumberFormat="1" applyFont="1" applyBorder="1" applyAlignment="1">
      <alignment wrapText="1"/>
    </xf>
    <xf numFmtId="0" fontId="32" fillId="0" borderId="7" xfId="0" applyFont="1" applyBorder="1" applyAlignment="1">
      <alignment horizontal="left" wrapText="1"/>
    </xf>
    <xf numFmtId="0" fontId="21" fillId="0" borderId="4" xfId="0" applyFont="1" applyBorder="1"/>
    <xf numFmtId="0" fontId="21" fillId="0" borderId="7" xfId="0" applyFont="1" applyBorder="1" applyAlignment="1">
      <alignment vertical="center" wrapText="1"/>
    </xf>
    <xf numFmtId="0" fontId="21" fillId="0" borderId="4" xfId="0" applyFont="1" applyBorder="1" applyAlignment="1">
      <alignment vertical="center" wrapText="1"/>
    </xf>
    <xf numFmtId="165" fontId="33" fillId="0" borderId="0" xfId="0" applyNumberFormat="1" applyFont="1" applyBorder="1" applyAlignment="1">
      <alignment horizontal="right" wrapText="1"/>
    </xf>
    <xf numFmtId="165" fontId="33" fillId="0" borderId="8" xfId="0" applyNumberFormat="1" applyFont="1" applyBorder="1" applyAlignment="1">
      <alignment horizontal="right" wrapText="1"/>
    </xf>
    <xf numFmtId="165" fontId="33" fillId="0" borderId="7" xfId="0" applyNumberFormat="1" applyFont="1" applyBorder="1" applyAlignment="1">
      <alignment horizontal="right" wrapText="1"/>
    </xf>
    <xf numFmtId="165" fontId="33" fillId="0" borderId="4" xfId="0" applyNumberFormat="1" applyFont="1" applyBorder="1" applyAlignment="1">
      <alignment horizontal="right" wrapText="1"/>
    </xf>
    <xf numFmtId="0" fontId="32" fillId="0" borderId="7" xfId="0" applyFont="1" applyBorder="1" applyAlignment="1">
      <alignment/>
    </xf>
    <xf numFmtId="0" fontId="21" fillId="0" borderId="8" xfId="0" applyFont="1" applyBorder="1"/>
    <xf numFmtId="0" fontId="21" fillId="0" borderId="7" xfId="0" applyFont="1" applyBorder="1"/>
    <xf numFmtId="0" fontId="21" fillId="0" borderId="4" xfId="0" applyFont="1" applyBorder="1"/>
    <xf numFmtId="0" fontId="14" fillId="0" borderId="7" xfId="0" applyFont="1" applyBorder="1" applyAlignment="1">
      <alignment vertical="center" wrapText="1"/>
    </xf>
    <xf numFmtId="4" fontId="14" fillId="0" borderId="8" xfId="0" applyNumberFormat="1" applyFont="1" applyBorder="1" applyAlignment="1">
      <alignment horizontal="right" vertical="center"/>
    </xf>
    <xf numFmtId="0" fontId="29" fillId="0" borderId="7" xfId="0" applyFont="1" applyBorder="1" applyAlignment="1">
      <alignment horizontal="center" vertical="center" wrapText="1"/>
    </xf>
    <xf numFmtId="2" fontId="13" fillId="0" borderId="4" xfId="0" applyNumberFormat="1" applyFont="1" applyBorder="1" applyAlignment="1">
      <alignment horizontal="right" vertical="center" wrapText="1"/>
    </xf>
    <xf numFmtId="2" fontId="13" fillId="0" borderId="8" xfId="0" applyNumberFormat="1" applyFont="1" applyBorder="1" applyAlignment="1">
      <alignment horizontal="right" vertical="center"/>
    </xf>
    <xf numFmtId="0" fontId="29" fillId="0" borderId="0" xfId="0" applyFont="1" applyAlignment="1">
      <alignment horizontal="center" vertical="center" wrapText="1"/>
    </xf>
    <xf numFmtId="0" fontId="21" fillId="0" borderId="0" xfId="0" applyFont="1" applyAlignment="1">
      <alignment vertical="center"/>
    </xf>
    <xf numFmtId="0" fontId="15" fillId="0" borderId="0" xfId="0" applyFont="1" applyAlignment="1">
      <alignment/>
    </xf>
    <xf numFmtId="0" fontId="34" fillId="0" borderId="2" xfId="20" applyFont="1" applyBorder="1" applyAlignment="1">
      <alignment horizontal="center" vertical="center" wrapText="1"/>
      <protection/>
    </xf>
    <xf numFmtId="0" fontId="34" fillId="0" borderId="1" xfId="20" applyFont="1" applyBorder="1" applyAlignment="1">
      <alignment horizontal="center" vertical="center" wrapText="1"/>
      <protection/>
    </xf>
    <xf numFmtId="0" fontId="34" fillId="0" borderId="12" xfId="20" applyFont="1" applyBorder="1" applyAlignment="1">
      <alignment vertical="center" wrapText="1"/>
      <protection/>
    </xf>
    <xf numFmtId="0" fontId="34" fillId="0" borderId="0" xfId="20" applyFont="1" applyBorder="1" applyAlignment="1">
      <alignment vertical="center" wrapText="1"/>
      <protection/>
    </xf>
    <xf numFmtId="166" fontId="36" fillId="0" borderId="0" xfId="0" applyNumberFormat="1" applyFont="1" applyAlignment="1">
      <alignment horizontal="left" wrapText="1"/>
    </xf>
    <xf numFmtId="4" fontId="27" fillId="0" borderId="4" xfId="20" applyNumberFormat="1" applyFont="1" applyFill="1" applyBorder="1" applyAlignment="1">
      <alignment horizontal="right" wrapText="1"/>
      <protection/>
    </xf>
    <xf numFmtId="4" fontId="27" fillId="0" borderId="8" xfId="20" applyNumberFormat="1" applyFont="1" applyFill="1" applyBorder="1" applyAlignment="1">
      <alignment horizontal="right" wrapText="1"/>
      <protection/>
    </xf>
    <xf numFmtId="0" fontId="34" fillId="0" borderId="0" xfId="20" applyFont="1" applyAlignment="1">
      <alignment wrapText="1"/>
      <protection/>
    </xf>
    <xf numFmtId="4" fontId="34" fillId="0" borderId="4" xfId="20" applyNumberFormat="1" applyFont="1" applyFill="1" applyBorder="1" applyAlignment="1">
      <alignment horizontal="right" wrapText="1"/>
      <protection/>
    </xf>
    <xf numFmtId="4" fontId="34" fillId="0" borderId="8" xfId="20" applyNumberFormat="1" applyFont="1" applyFill="1" applyBorder="1" applyAlignment="1">
      <alignment horizontal="right" wrapText="1"/>
      <protection/>
    </xf>
    <xf numFmtId="166" fontId="29" fillId="0" borderId="0" xfId="0" applyNumberFormat="1" applyFont="1" applyAlignment="1">
      <alignment horizontal="left" wrapText="1"/>
    </xf>
    <xf numFmtId="0" fontId="30" fillId="0" borderId="0" xfId="0" applyFont="1" applyAlignment="1">
      <alignment wrapText="1"/>
    </xf>
    <xf numFmtId="0" fontId="34" fillId="0" borderId="4" xfId="20" applyFont="1" applyFill="1" applyBorder="1" applyAlignment="1">
      <alignment horizontal="right" wrapText="1"/>
      <protection/>
    </xf>
    <xf numFmtId="0" fontId="34" fillId="0" borderId="8" xfId="20" applyFont="1" applyFill="1" applyBorder="1" applyAlignment="1">
      <alignment horizontal="right" wrapText="1"/>
      <protection/>
    </xf>
    <xf numFmtId="165" fontId="27" fillId="0" borderId="4" xfId="33" applyNumberFormat="1" applyFont="1" applyFill="1" applyBorder="1" applyAlignment="1">
      <alignment/>
      <protection/>
    </xf>
    <xf numFmtId="165" fontId="27" fillId="0" borderId="8" xfId="33" applyNumberFormat="1" applyFont="1" applyFill="1" applyBorder="1" applyAlignment="1">
      <alignment/>
      <protection/>
    </xf>
    <xf numFmtId="166" fontId="29" fillId="0" borderId="0" xfId="0" applyNumberFormat="1" applyFont="1" applyFill="1" applyAlignment="1">
      <alignment horizontal="left" wrapText="1"/>
    </xf>
    <xf numFmtId="165" fontId="34" fillId="0" borderId="4" xfId="33" applyNumberFormat="1" applyFont="1" applyFill="1" applyBorder="1" applyAlignment="1">
      <alignment/>
      <protection/>
    </xf>
    <xf numFmtId="165" fontId="34" fillId="0" borderId="4" xfId="20" applyNumberFormat="1" applyFont="1" applyFill="1" applyBorder="1" applyAlignment="1">
      <alignment horizontal="right" wrapText="1"/>
      <protection/>
    </xf>
    <xf numFmtId="0" fontId="47" fillId="0" borderId="4" xfId="20" applyFont="1" applyFill="1" applyBorder="1" applyAlignment="1">
      <alignment horizontal="center" wrapText="1"/>
      <protection/>
    </xf>
    <xf numFmtId="0" fontId="47" fillId="0" borderId="8" xfId="20" applyFont="1" applyFill="1" applyBorder="1" applyAlignment="1">
      <alignment horizontal="center" wrapText="1"/>
      <protection/>
    </xf>
    <xf numFmtId="0" fontId="29" fillId="0" borderId="0" xfId="0" applyFont="1" applyAlignment="1">
      <alignment horizontal="left" wrapText="1"/>
    </xf>
    <xf numFmtId="0" fontId="26" fillId="0" borderId="0" xfId="20" applyFont="1" applyAlignment="1">
      <alignment wrapText="1"/>
      <protection/>
    </xf>
    <xf numFmtId="0" fontId="13" fillId="0" borderId="0" xfId="0" applyFont="1" applyBorder="1" applyAlignment="1">
      <alignment horizontal="left" wrapText="1"/>
    </xf>
    <xf numFmtId="49" fontId="29" fillId="0" borderId="0" xfId="0" applyNumberFormat="1" applyFont="1" applyAlignment="1">
      <alignment horizontal="left" wrapText="1"/>
    </xf>
    <xf numFmtId="0" fontId="34" fillId="0" borderId="8" xfId="20" applyFont="1" applyBorder="1">
      <alignment/>
      <protection/>
    </xf>
    <xf numFmtId="0" fontId="36" fillId="0" borderId="0" xfId="0" applyFont="1" applyAlignment="1">
      <alignment horizontal="left" wrapText="1"/>
    </xf>
    <xf numFmtId="0" fontId="30" fillId="0" borderId="0" xfId="0" applyFont="1" applyFill="1" applyAlignment="1">
      <alignment horizontal="left" wrapText="1"/>
    </xf>
    <xf numFmtId="0" fontId="16" fillId="0" borderId="0" xfId="0" applyFont="1" applyBorder="1" applyAlignment="1">
      <alignment horizontal="left" vertical="center" wrapText="1"/>
    </xf>
    <xf numFmtId="169" fontId="27" fillId="0" borderId="4" xfId="0" applyNumberFormat="1" applyFont="1" applyFill="1" applyBorder="1" applyAlignment="1">
      <alignment wrapText="1"/>
    </xf>
    <xf numFmtId="169" fontId="27" fillId="0" borderId="0" xfId="0" applyNumberFormat="1" applyFont="1" applyFill="1" applyBorder="1" applyAlignment="1">
      <alignment wrapText="1"/>
    </xf>
    <xf numFmtId="165" fontId="27" fillId="0" borderId="19" xfId="0" applyNumberFormat="1" applyFont="1" applyFill="1" applyBorder="1" applyAlignment="1">
      <alignment wrapText="1"/>
    </xf>
    <xf numFmtId="165" fontId="27" fillId="0" borderId="20" xfId="0" applyNumberFormat="1" applyFont="1" applyFill="1" applyBorder="1" applyAlignment="1">
      <alignment wrapText="1"/>
    </xf>
    <xf numFmtId="0" fontId="34" fillId="0" borderId="8" xfId="20" applyFont="1" applyFill="1" applyBorder="1" applyAlignment="1">
      <alignment horizontal="right" wrapText="1"/>
      <protection/>
    </xf>
    <xf numFmtId="165" fontId="34" fillId="0" borderId="19" xfId="0" applyNumberFormat="1" applyFont="1" applyFill="1" applyBorder="1" applyAlignment="1">
      <alignment wrapText="1"/>
    </xf>
    <xf numFmtId="165" fontId="34" fillId="0" borderId="20" xfId="0" applyNumberFormat="1" applyFont="1" applyFill="1" applyBorder="1" applyAlignment="1">
      <alignment wrapText="1"/>
    </xf>
    <xf numFmtId="0" fontId="26" fillId="0" borderId="4" xfId="20" applyFont="1" applyFill="1" applyBorder="1" applyAlignment="1">
      <alignment horizontal="right" wrapText="1"/>
      <protection/>
    </xf>
    <xf numFmtId="0" fontId="26" fillId="0" borderId="8" xfId="20" applyFont="1" applyFill="1" applyBorder="1" applyAlignment="1">
      <alignment horizontal="right" wrapText="1"/>
      <protection/>
    </xf>
    <xf numFmtId="0" fontId="34" fillId="0" borderId="4" xfId="20" applyFont="1" applyFill="1" applyBorder="1" applyAlignment="1">
      <alignment horizontal="right"/>
      <protection/>
    </xf>
    <xf numFmtId="0" fontId="34" fillId="0" borderId="8" xfId="20" applyFont="1" applyFill="1" applyBorder="1" applyAlignment="1">
      <alignment horizontal="right"/>
      <protection/>
    </xf>
    <xf numFmtId="0" fontId="34" fillId="0" borderId="0" xfId="20" applyFont="1" applyAlignment="1">
      <alignment/>
      <protection/>
    </xf>
    <xf numFmtId="0" fontId="34" fillId="0" borderId="8" xfId="20" applyFont="1" applyFill="1" applyBorder="1" applyAlignment="1">
      <alignment/>
      <protection/>
    </xf>
    <xf numFmtId="0" fontId="34" fillId="0" borderId="8" xfId="20" applyFont="1" applyFill="1" applyBorder="1">
      <alignment/>
      <protection/>
    </xf>
    <xf numFmtId="166" fontId="29" fillId="0" borderId="0" xfId="0" applyNumberFormat="1" applyFont="1" applyAlignment="1">
      <alignment wrapText="1"/>
    </xf>
    <xf numFmtId="166" fontId="36" fillId="0" borderId="0" xfId="0" applyNumberFormat="1" applyFont="1" applyAlignment="1">
      <alignment wrapText="1"/>
    </xf>
    <xf numFmtId="0" fontId="30" fillId="0" borderId="0" xfId="0" applyFont="1"/>
    <xf numFmtId="165" fontId="27" fillId="0" borderId="21" xfId="0" applyNumberFormat="1" applyFont="1" applyFill="1" applyBorder="1" applyAlignment="1">
      <alignment horizontal="right" wrapText="1"/>
    </xf>
    <xf numFmtId="165" fontId="27" fillId="0" borderId="8" xfId="0" applyNumberFormat="1" applyFont="1" applyFill="1" applyBorder="1" applyAlignment="1">
      <alignment horizontal="right" wrapText="1"/>
    </xf>
    <xf numFmtId="0" fontId="34" fillId="0" borderId="4" xfId="20" applyFont="1" applyFill="1" applyBorder="1" applyAlignment="1">
      <alignment horizontal="right" wrapText="1"/>
      <protection/>
    </xf>
    <xf numFmtId="165" fontId="27" fillId="0" borderId="19" xfId="0" applyNumberFormat="1" applyFont="1" applyFill="1" applyBorder="1" applyAlignment="1">
      <alignment horizontal="right" wrapText="1"/>
    </xf>
    <xf numFmtId="165" fontId="27" fillId="0" borderId="20" xfId="0" applyNumberFormat="1" applyFont="1" applyFill="1" applyBorder="1" applyAlignment="1">
      <alignment horizontal="right" wrapText="1"/>
    </xf>
    <xf numFmtId="165" fontId="34" fillId="0" borderId="21" xfId="0" applyNumberFormat="1" applyFont="1" applyFill="1" applyBorder="1" applyAlignment="1">
      <alignment horizontal="right" wrapText="1"/>
    </xf>
    <xf numFmtId="165" fontId="34" fillId="0" borderId="19" xfId="0" applyNumberFormat="1" applyFont="1" applyFill="1" applyBorder="1" applyAlignment="1">
      <alignment horizontal="right" wrapText="1"/>
    </xf>
    <xf numFmtId="165" fontId="34" fillId="0" borderId="20" xfId="0" applyNumberFormat="1" applyFont="1" applyFill="1" applyBorder="1" applyAlignment="1">
      <alignment horizontal="right" wrapText="1"/>
    </xf>
    <xf numFmtId="165" fontId="34" fillId="0" borderId="22" xfId="0" applyNumberFormat="1" applyFont="1" applyFill="1" applyBorder="1" applyAlignment="1">
      <alignment horizontal="right" wrapText="1"/>
    </xf>
    <xf numFmtId="165" fontId="34" fillId="0" borderId="0" xfId="0" applyNumberFormat="1" applyFont="1" applyFill="1" applyBorder="1" applyAlignment="1">
      <alignment horizontal="right" wrapText="1"/>
    </xf>
    <xf numFmtId="165" fontId="34" fillId="0" borderId="4" xfId="0" applyNumberFormat="1" applyFont="1" applyFill="1" applyBorder="1" applyAlignment="1">
      <alignment horizontal="right" wrapText="1"/>
    </xf>
    <xf numFmtId="165" fontId="34" fillId="0" borderId="7" xfId="0" applyNumberFormat="1" applyFont="1" applyFill="1" applyBorder="1" applyAlignment="1">
      <alignment horizontal="right" wrapText="1"/>
    </xf>
    <xf numFmtId="165" fontId="34" fillId="0" borderId="20" xfId="0" applyNumberFormat="1" applyFont="1" applyFill="1" applyBorder="1" applyAlignment="1">
      <alignment horizontal="right"/>
    </xf>
    <xf numFmtId="165" fontId="27" fillId="0" borderId="21" xfId="0" applyNumberFormat="1" applyFont="1" applyFill="1" applyBorder="1" applyAlignment="1">
      <alignment wrapText="1"/>
    </xf>
    <xf numFmtId="165" fontId="27" fillId="0" borderId="22" xfId="0" applyNumberFormat="1" applyFont="1" applyFill="1" applyBorder="1" applyAlignment="1">
      <alignment wrapText="1"/>
    </xf>
    <xf numFmtId="165" fontId="27" fillId="0" borderId="0" xfId="0" applyNumberFormat="1" applyFont="1" applyFill="1" applyBorder="1" applyAlignment="1">
      <alignment wrapText="1"/>
    </xf>
    <xf numFmtId="0" fontId="34" fillId="0" borderId="8" xfId="20" applyFont="1" applyFill="1" applyBorder="1">
      <alignment/>
      <protection/>
    </xf>
    <xf numFmtId="0" fontId="34" fillId="0" borderId="0" xfId="20" applyFont="1" applyAlignment="1">
      <alignment vertical="center"/>
      <protection/>
    </xf>
    <xf numFmtId="0" fontId="34" fillId="0" borderId="6" xfId="20" applyFont="1" applyBorder="1" applyAlignment="1">
      <alignment vertical="center" wrapText="1"/>
      <protection/>
    </xf>
    <xf numFmtId="0" fontId="34" fillId="0" borderId="6" xfId="20" applyFont="1" applyBorder="1">
      <alignment/>
      <protection/>
    </xf>
    <xf numFmtId="0" fontId="34" fillId="0" borderId="6" xfId="20" applyFont="1" applyBorder="1" applyAlignment="1">
      <alignment wrapText="1"/>
      <protection/>
    </xf>
    <xf numFmtId="0" fontId="29" fillId="0" borderId="0" xfId="0" applyFont="1" applyAlignment="1">
      <alignment horizontal="left" vertical="center"/>
    </xf>
    <xf numFmtId="0" fontId="29" fillId="0" borderId="4" xfId="0" applyFont="1" applyBorder="1" applyAlignment="1">
      <alignment horizontal="center"/>
    </xf>
    <xf numFmtId="2" fontId="34" fillId="0" borderId="4" xfId="0" applyNumberFormat="1" applyFont="1" applyFill="1" applyBorder="1" applyAlignment="1">
      <alignment horizontal="right" wrapText="1"/>
    </xf>
    <xf numFmtId="2" fontId="34" fillId="0" borderId="8" xfId="0" applyNumberFormat="1" applyFont="1" applyFill="1" applyBorder="1" applyAlignment="1">
      <alignment horizontal="right" wrapText="1"/>
    </xf>
    <xf numFmtId="0" fontId="30" fillId="0" borderId="0" xfId="0" applyFont="1" applyAlignment="1">
      <alignment horizontal="left"/>
    </xf>
    <xf numFmtId="0" fontId="30" fillId="0" borderId="0" xfId="0" applyFont="1" applyAlignment="1">
      <alignment/>
    </xf>
    <xf numFmtId="2" fontId="34" fillId="0" borderId="0" xfId="0" applyNumberFormat="1" applyFont="1" applyFill="1" applyBorder="1" applyAlignment="1">
      <alignment horizontal="right" wrapText="1"/>
    </xf>
    <xf numFmtId="2" fontId="34" fillId="0" borderId="8" xfId="0" applyNumberFormat="1" applyFont="1" applyFill="1" applyBorder="1" applyAlignment="1">
      <alignment horizontal="right" wrapText="1"/>
    </xf>
    <xf numFmtId="0" fontId="29" fillId="0" borderId="0" xfId="0" applyFont="1" applyFill="1" applyAlignment="1">
      <alignment horizontal="left" vertical="center"/>
    </xf>
    <xf numFmtId="0" fontId="29" fillId="0" borderId="4" xfId="0" applyFont="1" applyFill="1" applyBorder="1" applyAlignment="1">
      <alignment horizontal="center"/>
    </xf>
    <xf numFmtId="0" fontId="26" fillId="0" borderId="0" xfId="20" applyFont="1" applyAlignment="1">
      <alignment/>
      <protection/>
    </xf>
    <xf numFmtId="0" fontId="26" fillId="0" borderId="4" xfId="20" applyFont="1" applyFill="1" applyBorder="1" applyAlignment="1">
      <alignment horizontal="right"/>
      <protection/>
    </xf>
    <xf numFmtId="0" fontId="26" fillId="0" borderId="8" xfId="20" applyFont="1" applyFill="1" applyBorder="1" applyAlignment="1">
      <alignment horizontal="right"/>
      <protection/>
    </xf>
    <xf numFmtId="0" fontId="29" fillId="0" borderId="0" xfId="0" applyFont="1" applyAlignment="1">
      <alignment horizontal="left"/>
    </xf>
    <xf numFmtId="0" fontId="29" fillId="0" borderId="4" xfId="0" applyFont="1" applyBorder="1" applyAlignment="1">
      <alignment horizontal="center" vertical="center" wrapText="1"/>
    </xf>
    <xf numFmtId="0" fontId="26" fillId="0" borderId="4" xfId="20" applyFont="1" applyFill="1" applyBorder="1" applyAlignment="1">
      <alignment horizontal="right" vertical="center" wrapText="1"/>
      <protection/>
    </xf>
    <xf numFmtId="0" fontId="26" fillId="0" borderId="8" xfId="20" applyFont="1" applyFill="1" applyBorder="1" applyAlignment="1">
      <alignment horizontal="right" vertical="center" wrapText="1"/>
      <protection/>
    </xf>
    <xf numFmtId="0" fontId="26" fillId="0" borderId="0" xfId="20" applyFont="1" applyAlignment="1">
      <alignment vertical="center" wrapText="1"/>
      <protection/>
    </xf>
    <xf numFmtId="0" fontId="13" fillId="0" borderId="4" xfId="0" applyFont="1" applyBorder="1" applyAlignment="1">
      <alignment horizontal="center" vertical="center"/>
    </xf>
    <xf numFmtId="2" fontId="34" fillId="0" borderId="0" xfId="0" applyNumberFormat="1" applyFont="1" applyFill="1" applyBorder="1" applyAlignment="1">
      <alignment horizontal="right"/>
    </xf>
    <xf numFmtId="0" fontId="16" fillId="0" borderId="0" xfId="0" applyFont="1" applyBorder="1" applyAlignment="1">
      <alignment vertical="top"/>
    </xf>
    <xf numFmtId="2" fontId="34" fillId="0" borderId="4" xfId="29" applyNumberFormat="1" applyFont="1" applyFill="1" applyBorder="1" applyAlignment="1">
      <alignment horizontal="right" wrapText="1"/>
      <protection/>
    </xf>
    <xf numFmtId="0" fontId="13" fillId="0" borderId="4" xfId="0" applyFont="1" applyFill="1" applyBorder="1" applyAlignment="1">
      <alignment horizontal="center" vertical="center"/>
    </xf>
    <xf numFmtId="2" fontId="48" fillId="0" borderId="19" xfId="0" applyNumberFormat="1" applyFont="1" applyFill="1" applyBorder="1" applyAlignment="1">
      <alignment horizontal="right" vertical="top" wrapText="1"/>
    </xf>
    <xf numFmtId="2" fontId="48" fillId="0" borderId="20" xfId="0" applyNumberFormat="1" applyFont="1" applyFill="1" applyBorder="1" applyAlignment="1">
      <alignment horizontal="right" vertical="top" wrapText="1"/>
    </xf>
    <xf numFmtId="0" fontId="34" fillId="0" borderId="0" xfId="20" applyFont="1" applyFill="1" applyAlignment="1">
      <alignment/>
      <protection/>
    </xf>
    <xf numFmtId="0" fontId="28" fillId="0" borderId="0" xfId="20" applyFont="1" applyFill="1">
      <alignment/>
      <protection/>
    </xf>
    <xf numFmtId="0" fontId="34" fillId="0" borderId="6" xfId="20" applyFont="1" applyBorder="1" applyAlignment="1">
      <alignment vertical="center"/>
      <protection/>
    </xf>
    <xf numFmtId="166" fontId="13" fillId="0" borderId="0" xfId="0" applyNumberFormat="1" applyFont="1" applyFill="1" applyAlignment="1">
      <alignment horizontal="left" wrapText="1"/>
    </xf>
    <xf numFmtId="165" fontId="13" fillId="0" borderId="19" xfId="0" applyNumberFormat="1" applyFont="1" applyFill="1" applyBorder="1" applyAlignment="1">
      <alignment horizontal="right" wrapText="1"/>
    </xf>
    <xf numFmtId="165" fontId="13" fillId="0" borderId="20" xfId="0" applyNumberFormat="1" applyFont="1" applyFill="1" applyBorder="1" applyAlignment="1">
      <alignment horizontal="right" wrapText="1"/>
    </xf>
    <xf numFmtId="0" fontId="34" fillId="0" borderId="0" xfId="20" applyFont="1" applyFill="1" applyAlignment="1">
      <alignment wrapText="1"/>
      <protection/>
    </xf>
    <xf numFmtId="0" fontId="16" fillId="0" borderId="0" xfId="0" applyFont="1" applyFill="1" applyAlignment="1">
      <alignment wrapText="1"/>
    </xf>
    <xf numFmtId="0" fontId="13" fillId="0" borderId="4" xfId="20" applyFont="1" applyFill="1" applyBorder="1" applyAlignment="1">
      <alignment horizontal="right" wrapText="1"/>
      <protection/>
    </xf>
    <xf numFmtId="0" fontId="13" fillId="0" borderId="8" xfId="20" applyFont="1" applyFill="1" applyBorder="1" applyAlignment="1">
      <alignment horizontal="right" wrapText="1"/>
      <protection/>
    </xf>
    <xf numFmtId="165" fontId="34" fillId="0" borderId="8" xfId="0" applyNumberFormat="1" applyFont="1" applyFill="1" applyBorder="1" applyAlignment="1">
      <alignment wrapText="1"/>
    </xf>
    <xf numFmtId="165" fontId="34" fillId="0" borderId="4" xfId="0" applyNumberFormat="1" applyFont="1" applyFill="1" applyBorder="1" applyAlignment="1">
      <alignment wrapText="1"/>
    </xf>
    <xf numFmtId="165" fontId="34" fillId="0" borderId="0" xfId="0" applyNumberFormat="1" applyFont="1" applyFill="1" applyBorder="1" applyAlignment="1">
      <alignment wrapText="1"/>
    </xf>
    <xf numFmtId="0" fontId="29" fillId="0" borderId="0" xfId="0" applyFont="1" applyFill="1" applyAlignment="1">
      <alignment horizontal="left" vertical="top" wrapText="1"/>
    </xf>
    <xf numFmtId="165" fontId="48" fillId="0" borderId="20" xfId="0" applyNumberFormat="1" applyFont="1" applyFill="1" applyBorder="1" applyAlignment="1">
      <alignment horizontal="right" vertical="top" wrapText="1"/>
    </xf>
    <xf numFmtId="165" fontId="48" fillId="0" borderId="21" xfId="0" applyNumberFormat="1" applyFont="1" applyFill="1" applyBorder="1" applyAlignment="1">
      <alignment horizontal="right" vertical="top" wrapText="1"/>
    </xf>
    <xf numFmtId="165" fontId="48" fillId="0" borderId="19" xfId="0" applyNumberFormat="1" applyFont="1" applyFill="1" applyBorder="1" applyAlignment="1">
      <alignment horizontal="right" vertical="top" wrapText="1"/>
    </xf>
    <xf numFmtId="0" fontId="30" fillId="0" borderId="0" xfId="0" applyFont="1" applyAlignment="1">
      <alignment horizontal="left" wrapText="1"/>
    </xf>
    <xf numFmtId="0" fontId="26" fillId="0" borderId="0" xfId="20" applyFont="1" applyFill="1" applyAlignment="1">
      <alignment wrapText="1"/>
      <protection/>
    </xf>
    <xf numFmtId="165" fontId="34" fillId="0" borderId="19" xfId="0" applyNumberFormat="1" applyFont="1" applyFill="1" applyBorder="1" applyAlignment="1">
      <alignment horizontal="right" vertical="top" wrapText="1"/>
    </xf>
    <xf numFmtId="165" fontId="34" fillId="0" borderId="20" xfId="0" applyNumberFormat="1" applyFont="1" applyFill="1" applyBorder="1" applyAlignment="1">
      <alignment horizontal="right" vertical="top" wrapText="1"/>
    </xf>
    <xf numFmtId="0" fontId="34" fillId="0" borderId="0" xfId="20" applyFont="1" applyFill="1">
      <alignment/>
      <protection/>
    </xf>
    <xf numFmtId="165" fontId="13" fillId="0" borderId="20" xfId="0" applyNumberFormat="1" applyFont="1" applyFill="1" applyBorder="1" applyAlignment="1">
      <alignment horizontal="right" vertical="top" wrapText="1"/>
    </xf>
    <xf numFmtId="165" fontId="13" fillId="0" borderId="21" xfId="0" applyNumberFormat="1" applyFont="1" applyFill="1" applyBorder="1" applyAlignment="1">
      <alignment horizontal="right" vertical="top" wrapText="1"/>
    </xf>
    <xf numFmtId="165" fontId="13" fillId="0" borderId="19" xfId="0" applyNumberFormat="1" applyFont="1" applyFill="1" applyBorder="1" applyAlignment="1">
      <alignment horizontal="right" vertical="top" wrapText="1"/>
    </xf>
    <xf numFmtId="0" fontId="34" fillId="0" borderId="8" xfId="20" applyFont="1" applyFill="1" applyBorder="1">
      <alignment/>
      <protection/>
    </xf>
    <xf numFmtId="0" fontId="34" fillId="0" borderId="0" xfId="20" applyFont="1" applyFill="1" applyBorder="1">
      <alignment/>
      <protection/>
    </xf>
    <xf numFmtId="166" fontId="13" fillId="0" borderId="0" xfId="0" applyNumberFormat="1" applyFont="1" applyAlignment="1">
      <alignment horizontal="left" wrapText="1"/>
    </xf>
    <xf numFmtId="0" fontId="29" fillId="0" borderId="23" xfId="0" applyFont="1" applyBorder="1" applyAlignment="1">
      <alignment horizontal="right" vertical="center"/>
    </xf>
    <xf numFmtId="165" fontId="29" fillId="0" borderId="23" xfId="0" applyNumberFormat="1" applyFont="1" applyBorder="1" applyAlignment="1">
      <alignment horizontal="right" vertical="center"/>
    </xf>
    <xf numFmtId="0" fontId="29" fillId="0" borderId="24" xfId="0" applyFont="1" applyBorder="1" applyAlignment="1">
      <alignment horizontal="right" vertical="center"/>
    </xf>
    <xf numFmtId="0" fontId="16" fillId="0" borderId="0" xfId="0" applyFont="1" applyAlignment="1">
      <alignment horizontal="left" wrapText="1"/>
    </xf>
    <xf numFmtId="0" fontId="34" fillId="0" borderId="8" xfId="20" applyFont="1" applyBorder="1" applyAlignment="1">
      <alignment horizontal="right" wrapText="1"/>
      <protection/>
    </xf>
    <xf numFmtId="168" fontId="34" fillId="0" borderId="8" xfId="0" applyNumberFormat="1" applyFont="1" applyFill="1" applyBorder="1" applyAlignment="1">
      <alignment horizontal="right" wrapText="1"/>
    </xf>
    <xf numFmtId="168" fontId="34" fillId="0" borderId="4" xfId="0" applyNumberFormat="1" applyFont="1" applyFill="1" applyBorder="1" applyAlignment="1">
      <alignment horizontal="right" wrapText="1"/>
    </xf>
    <xf numFmtId="168" fontId="34" fillId="0" borderId="0" xfId="0" applyNumberFormat="1" applyFont="1" applyFill="1" applyBorder="1" applyAlignment="1">
      <alignment horizontal="right" wrapText="1"/>
    </xf>
    <xf numFmtId="0" fontId="16" fillId="0" borderId="8" xfId="0" applyFont="1" applyFill="1" applyBorder="1" applyAlignment="1">
      <alignment horizontal="left" vertical="center" wrapText="1"/>
    </xf>
    <xf numFmtId="0" fontId="23" fillId="0" borderId="0" xfId="20" applyFont="1" applyFill="1">
      <alignment/>
      <protection/>
    </xf>
    <xf numFmtId="0" fontId="30" fillId="0" borderId="0" xfId="0" applyFont="1" applyBorder="1" applyAlignment="1">
      <alignment/>
    </xf>
    <xf numFmtId="0" fontId="30" fillId="0" borderId="0" xfId="0" applyFont="1" applyBorder="1" applyAlignment="1">
      <alignment horizontal="left"/>
    </xf>
    <xf numFmtId="165" fontId="13" fillId="0" borderId="8" xfId="0" applyNumberFormat="1" applyFont="1" applyBorder="1" applyAlignment="1">
      <alignment horizontal="left" vertical="top" wrapText="1"/>
    </xf>
    <xf numFmtId="0" fontId="34" fillId="0" borderId="4" xfId="20" applyFont="1" applyBorder="1" applyAlignment="1">
      <alignment horizontal="right" wrapText="1"/>
      <protection/>
    </xf>
    <xf numFmtId="165" fontId="34" fillId="0" borderId="4" xfId="20" applyNumberFormat="1" applyFont="1" applyBorder="1" applyAlignment="1">
      <alignment horizontal="right" wrapText="1"/>
      <protection/>
    </xf>
    <xf numFmtId="165" fontId="34" fillId="0" borderId="8" xfId="20" applyNumberFormat="1" applyFont="1" applyBorder="1" applyAlignment="1">
      <alignment horizontal="right" wrapText="1"/>
      <protection/>
    </xf>
    <xf numFmtId="165" fontId="34" fillId="0" borderId="8" xfId="20" applyNumberFormat="1" applyFont="1" applyBorder="1" applyAlignment="1">
      <alignment horizontal="right" wrapText="1"/>
      <protection/>
    </xf>
    <xf numFmtId="165" fontId="13" fillId="0" borderId="8" xfId="0" applyNumberFormat="1" applyFont="1" applyBorder="1" applyAlignment="1">
      <alignment horizontal="right" vertical="center" wrapText="1"/>
    </xf>
    <xf numFmtId="0" fontId="13" fillId="0" borderId="8" xfId="0" applyFont="1" applyFill="1" applyBorder="1" applyAlignment="1">
      <alignment horizontal="left" vertical="top" wrapText="1"/>
    </xf>
    <xf numFmtId="0" fontId="23" fillId="0" borderId="0" xfId="20" applyFont="1">
      <alignment/>
      <protection/>
    </xf>
    <xf numFmtId="165" fontId="34" fillId="0" borderId="4" xfId="0" applyNumberFormat="1" applyFont="1" applyFill="1" applyBorder="1" applyAlignment="1">
      <alignment horizontal="right" wrapText="1"/>
    </xf>
    <xf numFmtId="165" fontId="34" fillId="0" borderId="4" xfId="0" applyNumberFormat="1" applyFont="1" applyFill="1" applyBorder="1" applyAlignment="1">
      <alignment wrapText="1"/>
    </xf>
    <xf numFmtId="165" fontId="34" fillId="0" borderId="8" xfId="0" applyNumberFormat="1" applyFont="1" applyFill="1" applyBorder="1" applyAlignment="1">
      <alignment horizontal="right" wrapText="1"/>
    </xf>
    <xf numFmtId="0" fontId="34" fillId="0" borderId="4" xfId="20" applyFont="1" applyBorder="1" applyAlignment="1">
      <alignment/>
      <protection/>
    </xf>
    <xf numFmtId="0" fontId="34" fillId="0" borderId="8" xfId="20" applyFont="1" applyBorder="1" applyAlignment="1">
      <alignment/>
      <protection/>
    </xf>
    <xf numFmtId="0" fontId="13" fillId="0" borderId="4" xfId="0" applyFont="1" applyBorder="1" applyAlignment="1">
      <alignment vertical="top" wrapText="1"/>
    </xf>
    <xf numFmtId="0" fontId="13" fillId="0" borderId="8" xfId="0" applyFont="1" applyBorder="1" applyAlignment="1">
      <alignment vertical="top" wrapText="1"/>
    </xf>
    <xf numFmtId="165" fontId="34" fillId="0" borderId="8" xfId="0" applyNumberFormat="1" applyFont="1" applyFill="1" applyBorder="1" applyAlignment="1">
      <alignment wrapText="1"/>
    </xf>
    <xf numFmtId="0" fontId="34" fillId="0" borderId="4" xfId="20" applyFont="1" applyBorder="1">
      <alignment/>
      <protection/>
    </xf>
    <xf numFmtId="0" fontId="34" fillId="0" borderId="8" xfId="20" applyFont="1" applyBorder="1">
      <alignment/>
      <protection/>
    </xf>
    <xf numFmtId="2" fontId="34" fillId="0" borderId="8" xfId="0" applyNumberFormat="1" applyFont="1" applyBorder="1"/>
    <xf numFmtId="0" fontId="34" fillId="0" borderId="2" xfId="0" applyFont="1" applyFill="1" applyBorder="1" applyAlignment="1">
      <alignment horizontal="center" vertical="center" wrapText="1"/>
    </xf>
    <xf numFmtId="0" fontId="16" fillId="0" borderId="0" xfId="0" applyFont="1" applyBorder="1" applyAlignment="1">
      <alignment/>
    </xf>
    <xf numFmtId="0" fontId="16" fillId="0" borderId="0" xfId="0" applyFont="1" applyBorder="1" applyAlignment="1">
      <alignment/>
    </xf>
    <xf numFmtId="0" fontId="13"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0" xfId="0" applyFont="1" applyBorder="1" applyAlignment="1">
      <alignment/>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164" fontId="13" fillId="0" borderId="8" xfId="0" applyNumberFormat="1" applyFont="1" applyBorder="1"/>
    <xf numFmtId="164" fontId="13" fillId="0" borderId="8" xfId="0" applyNumberFormat="1" applyFont="1" applyBorder="1" quotePrefix="1"/>
    <xf numFmtId="0" fontId="21" fillId="0" borderId="9" xfId="0" applyFont="1" applyBorder="1" applyAlignment="1">
      <alignment horizontal="center" vertical="center" wrapText="1"/>
    </xf>
    <xf numFmtId="165" fontId="34" fillId="0" borderId="8" xfId="33" applyNumberFormat="1" applyFont="1" applyFill="1" applyBorder="1" applyAlignment="1">
      <alignment/>
      <protection/>
    </xf>
    <xf numFmtId="0" fontId="8" fillId="0" borderId="0" xfId="32"/>
    <xf numFmtId="0" fontId="8" fillId="0" borderId="0" xfId="32" quotePrefix="1"/>
    <xf numFmtId="0" fontId="16" fillId="0" borderId="0" xfId="0" applyFont="1" applyBorder="1" applyAlignment="1">
      <alignment horizontal="left" wrapText="1"/>
    </xf>
    <xf numFmtId="0" fontId="13" fillId="0" borderId="18" xfId="0" applyFont="1" applyBorder="1" applyAlignment="1">
      <alignment horizontal="center" vertical="center" wrapText="1"/>
    </xf>
    <xf numFmtId="0" fontId="13" fillId="0" borderId="25" xfId="0" applyFont="1" applyBorder="1" applyAlignment="1">
      <alignment horizontal="center"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wrapText="1"/>
    </xf>
    <xf numFmtId="0" fontId="16" fillId="0" borderId="0" xfId="0" applyFont="1" applyAlignment="1">
      <alignment horizontal="left"/>
    </xf>
    <xf numFmtId="0" fontId="14" fillId="0" borderId="0" xfId="0" applyFont="1" applyAlignment="1">
      <alignment horizontal="left"/>
    </xf>
    <xf numFmtId="0" fontId="32" fillId="0" borderId="0" xfId="0" applyFont="1" applyAlignment="1">
      <alignment horizontal="left" vertical="center" wrapText="1"/>
    </xf>
    <xf numFmtId="0" fontId="16" fillId="0" borderId="0" xfId="0" applyFont="1" applyBorder="1" applyAlignment="1">
      <alignment/>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5" xfId="0" applyFont="1" applyBorder="1" applyAlignment="1">
      <alignment horizontal="center" vertical="center" wrapText="1"/>
    </xf>
    <xf numFmtId="0" fontId="16" fillId="0" borderId="0" xfId="0" applyFont="1" applyBorder="1" applyAlignment="1">
      <alignment horizontal="left"/>
    </xf>
    <xf numFmtId="166" fontId="34" fillId="0" borderId="13" xfId="0" applyNumberFormat="1" applyFont="1" applyBorder="1" applyAlignment="1">
      <alignment wrapText="1"/>
    </xf>
    <xf numFmtId="166" fontId="34" fillId="0" borderId="15" xfId="0" applyNumberFormat="1" applyFont="1" applyBorder="1" applyAlignment="1">
      <alignment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33" fillId="0" borderId="0" xfId="0" applyFont="1" applyAlignment="1">
      <alignment horizontal="left" vertical="center" wrapText="1"/>
    </xf>
    <xf numFmtId="0" fontId="27" fillId="0" borderId="26" xfId="0" applyFont="1" applyBorder="1" applyAlignment="1">
      <alignment horizontal="left" wrapText="1"/>
    </xf>
    <xf numFmtId="0" fontId="27" fillId="0" borderId="27" xfId="0" applyFont="1" applyBorder="1" applyAlignment="1">
      <alignment horizontal="left" wrapText="1"/>
    </xf>
    <xf numFmtId="166" fontId="34" fillId="0" borderId="0" xfId="0" applyNumberFormat="1" applyFont="1" applyBorder="1" applyAlignment="1">
      <alignment wrapText="1"/>
    </xf>
    <xf numFmtId="166" fontId="34" fillId="0" borderId="7" xfId="0" applyNumberFormat="1" applyFont="1" applyBorder="1" applyAlignment="1">
      <alignment wrapText="1"/>
    </xf>
    <xf numFmtId="166" fontId="27" fillId="0" borderId="0" xfId="0" applyNumberFormat="1" applyFont="1" applyBorder="1" applyAlignment="1">
      <alignment wrapText="1"/>
    </xf>
    <xf numFmtId="166" fontId="27" fillId="0" borderId="7" xfId="0" applyNumberFormat="1" applyFont="1" applyBorder="1" applyAlignment="1">
      <alignment wrapText="1"/>
    </xf>
    <xf numFmtId="166" fontId="27" fillId="0" borderId="13" xfId="0" applyNumberFormat="1" applyFont="1" applyBorder="1" applyAlignment="1">
      <alignment wrapText="1"/>
    </xf>
    <xf numFmtId="166" fontId="27" fillId="0" borderId="15" xfId="0" applyNumberFormat="1" applyFont="1" applyBorder="1" applyAlignment="1">
      <alignment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34" fillId="0" borderId="0" xfId="20" applyFont="1" applyBorder="1" applyAlignment="1">
      <alignment horizontal="center" vertical="center"/>
      <protection/>
    </xf>
    <xf numFmtId="166" fontId="34" fillId="0" borderId="0" xfId="20" applyNumberFormat="1" applyFont="1" applyBorder="1" applyAlignment="1">
      <alignment horizontal="center"/>
      <protection/>
    </xf>
    <xf numFmtId="0" fontId="13" fillId="0" borderId="6" xfId="0" applyFont="1" applyBorder="1" applyAlignment="1">
      <alignment horizontal="center" vertical="center"/>
    </xf>
    <xf numFmtId="0" fontId="34" fillId="0" borderId="11" xfId="20" applyFont="1" applyBorder="1" applyAlignment="1">
      <alignment horizontal="center" vertical="center" wrapText="1"/>
      <protection/>
    </xf>
    <xf numFmtId="0" fontId="34" fillId="0" borderId="3" xfId="20" applyFont="1" applyBorder="1" applyAlignment="1">
      <alignment horizontal="center" vertical="center" wrapText="1"/>
      <protection/>
    </xf>
    <xf numFmtId="166" fontId="34" fillId="0" borderId="7" xfId="20" applyNumberFormat="1" applyFont="1" applyBorder="1" applyAlignment="1">
      <alignment horizontal="center"/>
      <protection/>
    </xf>
    <xf numFmtId="0" fontId="21" fillId="0" borderId="0" xfId="0" applyFont="1" applyAlignment="1">
      <alignment horizontal="left" vertical="top" wrapText="1"/>
    </xf>
    <xf numFmtId="166" fontId="27" fillId="0" borderId="0" xfId="0" applyNumberFormat="1" applyFont="1" applyBorder="1" applyAlignment="1">
      <alignment/>
    </xf>
    <xf numFmtId="166" fontId="27" fillId="0" borderId="7" xfId="0" applyNumberFormat="1" applyFont="1" applyBorder="1" applyAlignment="1">
      <alignment/>
    </xf>
    <xf numFmtId="49" fontId="26" fillId="0" borderId="0" xfId="20" applyNumberFormat="1" applyFont="1" applyBorder="1" applyAlignment="1">
      <alignment horizontal="left"/>
      <protection/>
    </xf>
    <xf numFmtId="49" fontId="34" fillId="0" borderId="7" xfId="20" applyNumberFormat="1" applyFont="1" applyBorder="1" applyAlignment="1">
      <alignment horizontal="left"/>
      <protection/>
    </xf>
    <xf numFmtId="0" fontId="26" fillId="0" borderId="0" xfId="0" applyFont="1" applyBorder="1" applyAlignment="1">
      <alignment horizontal="left" vertical="top" wrapText="1"/>
    </xf>
    <xf numFmtId="0" fontId="26" fillId="0" borderId="7" xfId="0" applyFont="1" applyBorder="1" applyAlignment="1">
      <alignment horizontal="left" vertical="top" wrapText="1"/>
    </xf>
    <xf numFmtId="0" fontId="34" fillId="0" borderId="1" xfId="20" applyFont="1" applyBorder="1" applyAlignment="1">
      <alignment horizontal="center" vertical="center" wrapText="1"/>
      <protection/>
    </xf>
    <xf numFmtId="0" fontId="34" fillId="0" borderId="6" xfId="20" applyFont="1" applyBorder="1" applyAlignment="1">
      <alignment horizontal="center" vertical="center" wrapText="1"/>
      <protection/>
    </xf>
    <xf numFmtId="0" fontId="34" fillId="0" borderId="18" xfId="20" applyFont="1" applyBorder="1" applyAlignment="1">
      <alignment horizontal="center" vertical="center" wrapText="1"/>
      <protection/>
    </xf>
    <xf numFmtId="0" fontId="34" fillId="0" borderId="12" xfId="20" applyFont="1" applyBorder="1" applyAlignment="1">
      <alignment horizontal="center" vertical="center" wrapText="1"/>
      <protection/>
    </xf>
    <xf numFmtId="0" fontId="34" fillId="0" borderId="25" xfId="20" applyFont="1" applyBorder="1" applyAlignment="1">
      <alignment horizontal="center" vertical="center" wrapText="1"/>
      <protection/>
    </xf>
    <xf numFmtId="0" fontId="13" fillId="0" borderId="0" xfId="0" applyFont="1" applyBorder="1" applyAlignment="1">
      <alignment horizontal="center" wrapText="1"/>
    </xf>
    <xf numFmtId="0" fontId="27" fillId="0" borderId="0" xfId="0" applyFont="1" applyBorder="1" applyAlignment="1">
      <alignment horizontal="left" wrapText="1"/>
    </xf>
    <xf numFmtId="0" fontId="27" fillId="0" borderId="7" xfId="0" applyFont="1" applyBorder="1" applyAlignment="1">
      <alignment horizontal="left" wrapText="1"/>
    </xf>
    <xf numFmtId="0" fontId="28" fillId="0" borderId="0" xfId="0" applyFont="1" applyAlignment="1">
      <alignment horizontal="left" vertical="center" wrapText="1"/>
    </xf>
    <xf numFmtId="0" fontId="23"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xf>
    <xf numFmtId="0" fontId="14" fillId="0" borderId="6" xfId="0" applyFont="1" applyBorder="1" applyAlignment="1">
      <alignment wrapText="1"/>
    </xf>
    <xf numFmtId="0" fontId="14" fillId="0" borderId="18" xfId="0" applyFont="1" applyBorder="1" applyAlignment="1">
      <alignment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7" xfId="0" applyFont="1" applyBorder="1" applyAlignment="1">
      <alignment vertical="center" wrapText="1"/>
    </xf>
    <xf numFmtId="0" fontId="14" fillId="0" borderId="4" xfId="0" applyFont="1" applyBorder="1" applyAlignment="1">
      <alignment vertical="center" wrapText="1"/>
    </xf>
    <xf numFmtId="0" fontId="13" fillId="0" borderId="0" xfId="0" applyFont="1" applyBorder="1" applyAlignment="1">
      <alignment horizontal="left" vertical="center" wrapText="1"/>
    </xf>
    <xf numFmtId="0" fontId="13" fillId="0" borderId="12" xfId="0" applyFont="1" applyBorder="1" applyAlignment="1">
      <alignment horizontal="center" vertical="center"/>
    </xf>
    <xf numFmtId="0" fontId="14" fillId="0" borderId="0" xfId="0" applyFont="1" applyFill="1" applyAlignment="1">
      <alignment horizontal="left" wrapText="1"/>
    </xf>
    <xf numFmtId="0" fontId="34" fillId="0" borderId="9" xfId="0" applyFont="1" applyBorder="1" applyAlignment="1">
      <alignment horizontal="center" vertical="center" wrapText="1"/>
    </xf>
    <xf numFmtId="166" fontId="27" fillId="0" borderId="13" xfId="0" applyNumberFormat="1" applyFont="1" applyFill="1" applyBorder="1" applyAlignment="1">
      <alignment wrapText="1"/>
    </xf>
    <xf numFmtId="166" fontId="27" fillId="0" borderId="15" xfId="0" applyNumberFormat="1" applyFont="1" applyFill="1" applyBorder="1" applyAlignment="1">
      <alignment wrapText="1"/>
    </xf>
    <xf numFmtId="0" fontId="22" fillId="0" borderId="0" xfId="0" applyFont="1" applyAlignment="1">
      <alignment horizontal="left" vertical="top" wrapText="1"/>
    </xf>
    <xf numFmtId="0" fontId="34" fillId="0" borderId="0" xfId="0" applyFont="1" applyBorder="1" applyAlignment="1">
      <alignment horizontal="center" vertical="center" wrapText="1"/>
    </xf>
    <xf numFmtId="0" fontId="34" fillId="0" borderId="7" xfId="0" applyFont="1" applyBorder="1" applyAlignment="1">
      <alignment horizontal="center" vertical="center" wrapText="1"/>
    </xf>
    <xf numFmtId="166" fontId="27" fillId="0" borderId="0" xfId="0" applyNumberFormat="1" applyFont="1" applyBorder="1" applyAlignment="1">
      <alignment horizontal="center" wrapText="1"/>
    </xf>
    <xf numFmtId="166" fontId="27" fillId="0" borderId="7" xfId="0" applyNumberFormat="1" applyFont="1" applyBorder="1" applyAlignment="1">
      <alignment horizontal="center" wrapText="1"/>
    </xf>
    <xf numFmtId="166" fontId="27" fillId="0" borderId="0" xfId="20" applyNumberFormat="1" applyFont="1" applyBorder="1" applyAlignment="1">
      <alignment horizontal="center"/>
      <protection/>
    </xf>
    <xf numFmtId="166" fontId="27" fillId="0" borderId="7" xfId="20" applyNumberFormat="1" applyFont="1" applyBorder="1" applyAlignment="1">
      <alignment horizontal="center"/>
      <protection/>
    </xf>
    <xf numFmtId="0" fontId="26" fillId="0" borderId="0" xfId="0" applyFont="1" applyBorder="1" applyAlignment="1">
      <alignment horizontal="left" wrapText="1"/>
    </xf>
    <xf numFmtId="0" fontId="34" fillId="0" borderId="7" xfId="0" applyFont="1" applyBorder="1" applyAlignment="1">
      <alignment horizontal="left" wrapText="1"/>
    </xf>
    <xf numFmtId="0" fontId="13" fillId="0" borderId="0" xfId="0" applyFont="1" applyBorder="1" applyAlignment="1">
      <alignment horizontal="center" vertical="center"/>
    </xf>
    <xf numFmtId="0" fontId="34" fillId="0" borderId="0" xfId="0" applyFont="1" applyBorder="1" applyAlignment="1">
      <alignment wrapText="1"/>
    </xf>
    <xf numFmtId="0" fontId="34" fillId="0" borderId="7" xfId="0" applyFont="1" applyBorder="1" applyAlignment="1">
      <alignment wrapText="1"/>
    </xf>
    <xf numFmtId="0" fontId="26" fillId="0" borderId="0" xfId="0" applyFont="1" applyBorder="1" applyAlignment="1">
      <alignment wrapText="1"/>
    </xf>
    <xf numFmtId="0" fontId="26" fillId="0" borderId="7" xfId="0" applyFont="1" applyBorder="1" applyAlignment="1">
      <alignment wrapText="1"/>
    </xf>
    <xf numFmtId="0" fontId="13" fillId="0" borderId="7" xfId="0" applyFont="1" applyBorder="1" applyAlignment="1">
      <alignment horizontal="left" vertical="center" wrapText="1"/>
    </xf>
    <xf numFmtId="0" fontId="16" fillId="0" borderId="7" xfId="0" applyFont="1" applyBorder="1" applyAlignment="1">
      <alignment horizontal="left" vertical="center" wrapText="1"/>
    </xf>
    <xf numFmtId="166" fontId="13" fillId="0" borderId="0" xfId="0" applyNumberFormat="1" applyFont="1" applyBorder="1" applyAlignment="1">
      <alignment horizontal="left" vertical="center" wrapText="1"/>
    </xf>
    <xf numFmtId="166" fontId="13" fillId="0" borderId="7" xfId="0" applyNumberFormat="1" applyFont="1" applyBorder="1" applyAlignment="1">
      <alignment horizontal="left" vertical="center" wrapText="1"/>
    </xf>
    <xf numFmtId="0" fontId="20" fillId="0" borderId="0" xfId="0" applyFont="1" applyAlignment="1">
      <alignment horizontal="left" wrapText="1"/>
    </xf>
    <xf numFmtId="0" fontId="22" fillId="0" borderId="0" xfId="0" applyFont="1" applyBorder="1" applyAlignment="1">
      <alignment horizontal="left"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0" fontId="34" fillId="0" borderId="8" xfId="20" applyFont="1" applyFill="1" applyBorder="1" applyAlignment="1">
      <alignment horizontal="center" wrapText="1"/>
      <protection/>
    </xf>
    <xf numFmtId="0" fontId="34" fillId="0" borderId="0" xfId="20" applyFont="1" applyFill="1" applyBorder="1" applyAlignment="1">
      <alignment horizontal="center" wrapText="1"/>
      <protection/>
    </xf>
    <xf numFmtId="0" fontId="15" fillId="0" borderId="0" xfId="0" applyFont="1" applyAlignment="1">
      <alignment/>
    </xf>
    <xf numFmtId="0" fontId="34" fillId="0" borderId="8" xfId="20" applyFont="1" applyBorder="1" applyAlignment="1">
      <alignment horizontal="center" wrapText="1"/>
      <protection/>
    </xf>
    <xf numFmtId="0" fontId="34" fillId="0" borderId="0" xfId="20" applyFont="1" applyBorder="1" applyAlignment="1">
      <alignment horizontal="center" wrapText="1"/>
      <protection/>
    </xf>
    <xf numFmtId="0" fontId="16" fillId="0" borderId="0" xfId="0" applyFont="1" applyAlignment="1">
      <alignment horizontal="left" vertical="center"/>
    </xf>
    <xf numFmtId="0" fontId="34" fillId="0" borderId="7" xfId="20" applyFont="1" applyBorder="1" applyAlignment="1">
      <alignment horizontal="center" vertical="center" wrapText="1"/>
      <protection/>
    </xf>
    <xf numFmtId="0" fontId="34" fillId="0" borderId="5" xfId="20" applyFont="1" applyBorder="1" applyAlignment="1">
      <alignment horizontal="center" vertical="center" wrapText="1"/>
      <protection/>
    </xf>
    <xf numFmtId="0" fontId="34" fillId="0" borderId="4" xfId="20" applyFont="1" applyBorder="1" applyAlignment="1">
      <alignment horizontal="center" vertical="center" wrapText="1"/>
      <protection/>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29" fillId="0" borderId="8" xfId="0" applyFont="1" applyBorder="1" applyAlignment="1">
      <alignment horizontal="center" vertical="center" wrapText="1"/>
    </xf>
  </cellXfs>
  <cellStyles count="31">
    <cellStyle name="Normal" xfId="0"/>
    <cellStyle name="Percent" xfId="15"/>
    <cellStyle name="Currency" xfId="16"/>
    <cellStyle name="Currency [0]" xfId="17"/>
    <cellStyle name="Comma" xfId="18"/>
    <cellStyle name="Comma [0]" xfId="19"/>
    <cellStyle name="Normalny 3 2" xfId="20"/>
    <cellStyle name="Normalny 5" xfId="21"/>
    <cellStyle name="Dziesiętny" xfId="22"/>
    <cellStyle name="Normalny 4" xfId="23"/>
    <cellStyle name="Normalny 3" xfId="24"/>
    <cellStyle name="Dziesiętny 4" xfId="25"/>
    <cellStyle name="Dziesiętny 2" xfId="26"/>
    <cellStyle name="Dziesiętny 3" xfId="27"/>
    <cellStyle name="Dziesiętny 3 2" xfId="28"/>
    <cellStyle name="Normalny 2" xfId="29"/>
    <cellStyle name="Dziesiętny 4 2" xfId="30"/>
    <cellStyle name="Normalny 6" xfId="31"/>
    <cellStyle name="Hiperłącze" xfId="32"/>
    <cellStyle name="Normalny_Tabl 1 Aneks2010- wersja ostateczna od Joasi(06.05.2211)" xfId="33"/>
    <cellStyle name="Normalny 7" xfId="34"/>
    <cellStyle name="Normalny 2 2" xfId="35"/>
    <cellStyle name="Normalny 32" xfId="36"/>
    <cellStyle name="Normalny 4 4" xfId="37"/>
    <cellStyle name="Normalny 4 2" xfId="38"/>
    <cellStyle name="Normalny 4 2 2" xfId="39"/>
    <cellStyle name="Normalny 4 3" xfId="40"/>
    <cellStyle name="Normalny 5 3" xfId="41"/>
    <cellStyle name="Normalny 5 2" xfId="42"/>
    <cellStyle name="Normalny 6 3" xfId="43"/>
    <cellStyle name="Normalny 6 2" xfId="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workbookViewId="0" topLeftCell="A1">
      <selection activeCell="A99" sqref="A99"/>
    </sheetView>
  </sheetViews>
  <sheetFormatPr defaultColWidth="9.140625" defaultRowHeight="15"/>
  <cols>
    <col min="1" max="1" width="11.421875" style="4" customWidth="1"/>
    <col min="2" max="24" width="9.140625" style="3" customWidth="1"/>
    <col min="25" max="16384" width="9.140625" style="4" customWidth="1"/>
  </cols>
  <sheetData>
    <row r="1" ht="15">
      <c r="A1" s="2" t="s">
        <v>283</v>
      </c>
    </row>
    <row r="2" ht="15">
      <c r="A2" s="5" t="s">
        <v>579</v>
      </c>
    </row>
    <row r="3" spans="1:2" ht="15">
      <c r="A3" s="2" t="s">
        <v>284</v>
      </c>
      <c r="B3" s="6" t="s">
        <v>224</v>
      </c>
    </row>
    <row r="4" spans="1:2" ht="15">
      <c r="A4" s="2"/>
      <c r="B4" s="7" t="s">
        <v>223</v>
      </c>
    </row>
    <row r="5" spans="1:2" ht="13.5">
      <c r="A5" s="2" t="s">
        <v>285</v>
      </c>
      <c r="B5" s="6" t="s">
        <v>890</v>
      </c>
    </row>
    <row r="6" spans="1:6" ht="15">
      <c r="A6" s="2"/>
      <c r="B6" s="563" t="s">
        <v>891</v>
      </c>
      <c r="C6" s="8"/>
      <c r="D6" s="8"/>
      <c r="E6" s="8"/>
      <c r="F6" s="8"/>
    </row>
    <row r="7" spans="1:7" ht="13.5">
      <c r="A7" s="2" t="s">
        <v>286</v>
      </c>
      <c r="B7" s="8" t="s">
        <v>892</v>
      </c>
      <c r="C7" s="8"/>
      <c r="D7" s="8"/>
      <c r="E7" s="8"/>
      <c r="F7" s="8"/>
      <c r="G7" s="8"/>
    </row>
    <row r="8" spans="1:7" ht="13.5">
      <c r="A8" s="2"/>
      <c r="B8" s="7" t="s">
        <v>580</v>
      </c>
      <c r="C8" s="7"/>
      <c r="D8" s="7"/>
      <c r="E8" s="7"/>
      <c r="F8" s="7"/>
      <c r="G8" s="7"/>
    </row>
    <row r="9" spans="1:5" ht="15" customHeight="1">
      <c r="A9" s="2" t="s">
        <v>287</v>
      </c>
      <c r="B9" s="8" t="s">
        <v>954</v>
      </c>
      <c r="C9" s="8"/>
      <c r="D9" s="8"/>
      <c r="E9" s="8"/>
    </row>
    <row r="10" spans="1:5" ht="15" customHeight="1">
      <c r="A10" s="2"/>
      <c r="B10" s="564" t="s">
        <v>956</v>
      </c>
      <c r="C10" s="7"/>
      <c r="D10" s="7"/>
      <c r="E10" s="7"/>
    </row>
    <row r="11" spans="1:7" ht="15">
      <c r="A11" s="2" t="s">
        <v>288</v>
      </c>
      <c r="B11" s="8" t="s">
        <v>887</v>
      </c>
      <c r="C11" s="8"/>
      <c r="D11" s="8"/>
      <c r="E11" s="8"/>
      <c r="F11" s="8"/>
      <c r="G11" s="8"/>
    </row>
    <row r="12" spans="1:7" ht="15">
      <c r="A12" s="2"/>
      <c r="B12" s="7" t="s">
        <v>888</v>
      </c>
      <c r="C12" s="7"/>
      <c r="D12" s="7"/>
      <c r="E12" s="7"/>
      <c r="F12" s="7"/>
      <c r="G12" s="7"/>
    </row>
    <row r="13" spans="1:7" ht="15" customHeight="1">
      <c r="A13" s="2" t="s">
        <v>289</v>
      </c>
      <c r="B13" s="8" t="s">
        <v>526</v>
      </c>
      <c r="C13" s="8"/>
      <c r="D13" s="8"/>
      <c r="E13" s="8"/>
      <c r="F13" s="8"/>
      <c r="G13" s="8"/>
    </row>
    <row r="14" spans="1:7" ht="15" customHeight="1">
      <c r="A14" s="2"/>
      <c r="B14" s="7" t="s">
        <v>527</v>
      </c>
      <c r="C14" s="7"/>
      <c r="D14" s="7"/>
      <c r="E14" s="7"/>
      <c r="F14" s="7"/>
      <c r="G14" s="7"/>
    </row>
    <row r="15" spans="1:7" ht="15" customHeight="1">
      <c r="A15" s="2" t="s">
        <v>290</v>
      </c>
      <c r="B15" s="8" t="s">
        <v>528</v>
      </c>
      <c r="C15" s="8"/>
      <c r="D15" s="8"/>
      <c r="E15" s="8"/>
      <c r="F15" s="8"/>
      <c r="G15" s="8"/>
    </row>
    <row r="16" spans="1:7" ht="15">
      <c r="A16" s="2"/>
      <c r="B16" s="7" t="s">
        <v>529</v>
      </c>
      <c r="C16" s="7"/>
      <c r="D16" s="7"/>
      <c r="E16" s="7"/>
      <c r="F16" s="7"/>
      <c r="G16" s="7"/>
    </row>
    <row r="17" spans="1:5" ht="15">
      <c r="A17" s="2" t="s">
        <v>291</v>
      </c>
      <c r="B17" s="8" t="s">
        <v>960</v>
      </c>
      <c r="C17" s="8"/>
      <c r="D17" s="8"/>
      <c r="E17" s="8"/>
    </row>
    <row r="18" spans="1:5" ht="15">
      <c r="A18" s="2"/>
      <c r="B18" s="563" t="s">
        <v>959</v>
      </c>
      <c r="C18" s="7"/>
      <c r="D18" s="7"/>
      <c r="E18" s="7"/>
    </row>
    <row r="19" spans="1:7" ht="15">
      <c r="A19" s="2" t="s">
        <v>292</v>
      </c>
      <c r="B19" s="8" t="s">
        <v>889</v>
      </c>
      <c r="C19" s="8"/>
      <c r="D19" s="8"/>
      <c r="E19" s="8"/>
      <c r="F19" s="8"/>
      <c r="G19" s="8"/>
    </row>
    <row r="20" spans="1:7" ht="13.5">
      <c r="A20" s="2"/>
      <c r="B20" s="563" t="s">
        <v>893</v>
      </c>
      <c r="C20" s="7"/>
      <c r="D20" s="7"/>
      <c r="E20" s="7"/>
      <c r="F20" s="7"/>
      <c r="G20" s="7"/>
    </row>
    <row r="21" spans="1:7" ht="15">
      <c r="A21" s="2" t="s">
        <v>293</v>
      </c>
      <c r="B21" s="8" t="s">
        <v>530</v>
      </c>
      <c r="C21" s="8"/>
      <c r="D21" s="8"/>
      <c r="E21" s="8"/>
      <c r="F21" s="8"/>
      <c r="G21" s="8"/>
    </row>
    <row r="22" spans="1:7" ht="15">
      <c r="A22" s="2"/>
      <c r="B22" s="7" t="s">
        <v>531</v>
      </c>
      <c r="C22" s="7"/>
      <c r="D22" s="7"/>
      <c r="E22" s="7"/>
      <c r="F22" s="7"/>
      <c r="G22" s="7"/>
    </row>
    <row r="23" spans="1:3" ht="13.5">
      <c r="A23" s="2" t="s">
        <v>294</v>
      </c>
      <c r="B23" s="8" t="s">
        <v>894</v>
      </c>
      <c r="C23" s="8"/>
    </row>
    <row r="24" spans="1:3" ht="15" customHeight="1">
      <c r="A24" s="2"/>
      <c r="B24" s="563" t="s">
        <v>895</v>
      </c>
      <c r="C24" s="7"/>
    </row>
    <row r="25" spans="1:6" ht="15">
      <c r="A25" s="2" t="s">
        <v>295</v>
      </c>
      <c r="B25" s="8" t="s">
        <v>532</v>
      </c>
      <c r="C25" s="8"/>
      <c r="D25" s="8"/>
      <c r="E25" s="8"/>
      <c r="F25" s="8"/>
    </row>
    <row r="26" spans="1:6" ht="15">
      <c r="A26" s="2"/>
      <c r="B26" s="7" t="s">
        <v>533</v>
      </c>
      <c r="C26" s="7"/>
      <c r="D26" s="7"/>
      <c r="E26" s="7"/>
      <c r="F26" s="7"/>
    </row>
    <row r="27" spans="1:6" ht="13.5">
      <c r="A27" s="2" t="s">
        <v>296</v>
      </c>
      <c r="B27" s="8" t="s">
        <v>896</v>
      </c>
      <c r="C27" s="8"/>
      <c r="D27" s="8"/>
      <c r="E27" s="8"/>
      <c r="F27" s="8"/>
    </row>
    <row r="28" spans="1:6" ht="13.5">
      <c r="A28" s="2"/>
      <c r="B28" s="563" t="s">
        <v>897</v>
      </c>
      <c r="C28" s="7"/>
      <c r="D28" s="7"/>
      <c r="E28" s="7"/>
      <c r="F28" s="7"/>
    </row>
    <row r="29" spans="1:6" ht="15">
      <c r="A29" s="2" t="s">
        <v>297</v>
      </c>
      <c r="B29" s="8" t="s">
        <v>898</v>
      </c>
      <c r="C29" s="8"/>
      <c r="D29" s="8"/>
      <c r="E29" s="8"/>
      <c r="F29" s="8"/>
    </row>
    <row r="30" spans="1:6" ht="13.5">
      <c r="A30" s="2"/>
      <c r="B30" s="563" t="s">
        <v>899</v>
      </c>
      <c r="C30" s="7"/>
      <c r="D30" s="7"/>
      <c r="E30" s="7"/>
      <c r="F30" s="7"/>
    </row>
    <row r="31" spans="1:6" ht="15">
      <c r="A31" s="2" t="s">
        <v>298</v>
      </c>
      <c r="B31" s="9" t="s">
        <v>901</v>
      </c>
      <c r="C31" s="9"/>
      <c r="D31" s="9"/>
      <c r="E31" s="9"/>
      <c r="F31" s="9"/>
    </row>
    <row r="32" spans="1:6" ht="13.5">
      <c r="A32" s="2"/>
      <c r="B32" s="563" t="s">
        <v>900</v>
      </c>
      <c r="C32" s="7"/>
      <c r="D32" s="7"/>
      <c r="E32" s="7"/>
      <c r="F32" s="7"/>
    </row>
    <row r="33" spans="1:6" ht="15">
      <c r="A33" s="2" t="s">
        <v>490</v>
      </c>
      <c r="B33" s="9" t="s">
        <v>534</v>
      </c>
      <c r="C33" s="9"/>
      <c r="D33" s="9"/>
      <c r="E33" s="9"/>
      <c r="F33" s="9"/>
    </row>
    <row r="34" spans="1:6" ht="15">
      <c r="A34" s="2"/>
      <c r="B34" s="7" t="s">
        <v>535</v>
      </c>
      <c r="C34" s="7"/>
      <c r="D34" s="7"/>
      <c r="E34" s="7"/>
      <c r="F34" s="7"/>
    </row>
    <row r="35" spans="1:6" ht="15">
      <c r="A35" s="2" t="s">
        <v>491</v>
      </c>
      <c r="B35" s="9" t="s">
        <v>536</v>
      </c>
      <c r="C35" s="9"/>
      <c r="D35" s="9"/>
      <c r="E35" s="9"/>
      <c r="F35" s="9"/>
    </row>
    <row r="36" spans="1:6" ht="15">
      <c r="A36" s="2"/>
      <c r="B36" s="7" t="s">
        <v>537</v>
      </c>
      <c r="C36" s="7"/>
      <c r="D36" s="7"/>
      <c r="E36" s="7"/>
      <c r="F36" s="7"/>
    </row>
    <row r="37" spans="1:6" ht="15">
      <c r="A37" s="5" t="s">
        <v>581</v>
      </c>
      <c r="B37" s="7"/>
      <c r="C37" s="7"/>
      <c r="D37" s="7"/>
      <c r="E37" s="7"/>
      <c r="F37" s="7"/>
    </row>
    <row r="38" spans="1:2" ht="15">
      <c r="A38" s="2" t="s">
        <v>492</v>
      </c>
      <c r="B38" s="5" t="s">
        <v>902</v>
      </c>
    </row>
    <row r="39" spans="1:2" ht="15">
      <c r="A39" s="2"/>
      <c r="B39" s="10" t="s">
        <v>903</v>
      </c>
    </row>
    <row r="40" spans="1:6" ht="15">
      <c r="A40" s="2" t="s">
        <v>493</v>
      </c>
      <c r="B40" s="9" t="s">
        <v>904</v>
      </c>
      <c r="C40" s="9"/>
      <c r="D40" s="9"/>
      <c r="E40" s="9"/>
      <c r="F40" s="9"/>
    </row>
    <row r="41" spans="1:6" ht="15">
      <c r="A41" s="2"/>
      <c r="B41" s="563" t="s">
        <v>906</v>
      </c>
      <c r="C41" s="7"/>
      <c r="D41" s="7"/>
      <c r="E41" s="7"/>
      <c r="F41" s="7"/>
    </row>
    <row r="42" spans="1:7" ht="15">
      <c r="A42" s="2" t="s">
        <v>494</v>
      </c>
      <c r="B42" s="9" t="s">
        <v>905</v>
      </c>
      <c r="C42" s="9"/>
      <c r="D42" s="9"/>
      <c r="E42" s="9"/>
      <c r="F42" s="9"/>
      <c r="G42" s="9"/>
    </row>
    <row r="43" spans="1:7" ht="13.5">
      <c r="A43" s="2"/>
      <c r="B43" s="563" t="s">
        <v>908</v>
      </c>
      <c r="C43" s="7"/>
      <c r="D43" s="7"/>
      <c r="E43" s="7"/>
      <c r="F43" s="7"/>
      <c r="G43" s="7"/>
    </row>
    <row r="44" spans="1:6" ht="15">
      <c r="A44" s="2" t="s">
        <v>495</v>
      </c>
      <c r="B44" s="9" t="s">
        <v>907</v>
      </c>
      <c r="C44" s="9"/>
      <c r="D44" s="9"/>
      <c r="E44" s="9"/>
      <c r="F44" s="9"/>
    </row>
    <row r="45" spans="1:6" ht="13.5">
      <c r="A45" s="2"/>
      <c r="B45" s="563" t="s">
        <v>909</v>
      </c>
      <c r="C45" s="7"/>
      <c r="D45" s="7"/>
      <c r="E45" s="7"/>
      <c r="F45" s="7"/>
    </row>
    <row r="46" spans="1:6" ht="15">
      <c r="A46" s="2" t="s">
        <v>496</v>
      </c>
      <c r="B46" s="9" t="s">
        <v>910</v>
      </c>
      <c r="C46" s="9"/>
      <c r="D46" s="9"/>
      <c r="E46" s="9"/>
      <c r="F46" s="9"/>
    </row>
    <row r="47" spans="1:6" ht="13.5">
      <c r="A47" s="2"/>
      <c r="B47" s="11" t="s">
        <v>911</v>
      </c>
      <c r="C47" s="11"/>
      <c r="D47" s="11"/>
      <c r="E47" s="11"/>
      <c r="F47" s="11"/>
    </row>
    <row r="48" spans="1:7" ht="15">
      <c r="A48" s="2" t="s">
        <v>497</v>
      </c>
      <c r="B48" s="9" t="s">
        <v>912</v>
      </c>
      <c r="C48" s="9"/>
      <c r="D48" s="9"/>
      <c r="E48" s="9"/>
      <c r="F48" s="9"/>
      <c r="G48" s="9"/>
    </row>
    <row r="49" spans="1:7" ht="15">
      <c r="A49" s="2"/>
      <c r="B49" s="563" t="s">
        <v>913</v>
      </c>
      <c r="C49" s="7"/>
      <c r="D49" s="7"/>
      <c r="E49" s="7"/>
      <c r="F49" s="7"/>
      <c r="G49" s="7"/>
    </row>
    <row r="50" spans="1:12" ht="13.5">
      <c r="A50" s="2" t="s">
        <v>498</v>
      </c>
      <c r="B50" s="9" t="s">
        <v>914</v>
      </c>
      <c r="C50" s="9"/>
      <c r="D50" s="9"/>
      <c r="E50" s="9"/>
      <c r="F50" s="9"/>
      <c r="G50" s="9"/>
      <c r="H50" s="9"/>
      <c r="I50" s="9"/>
      <c r="J50" s="9"/>
      <c r="K50" s="9"/>
      <c r="L50" s="9"/>
    </row>
    <row r="51" spans="1:12" ht="15">
      <c r="A51" s="2"/>
      <c r="B51" s="579" t="s">
        <v>915</v>
      </c>
      <c r="C51" s="579"/>
      <c r="D51" s="579"/>
      <c r="E51" s="579"/>
      <c r="F51" s="579"/>
      <c r="G51" s="579"/>
      <c r="H51" s="579"/>
      <c r="I51" s="579"/>
      <c r="J51" s="579"/>
      <c r="K51" s="579"/>
      <c r="L51" s="579"/>
    </row>
    <row r="52" spans="1:12" ht="13.5">
      <c r="A52" s="2" t="s">
        <v>499</v>
      </c>
      <c r="B52" s="9" t="s">
        <v>961</v>
      </c>
      <c r="C52" s="9"/>
      <c r="D52" s="9"/>
      <c r="E52" s="9"/>
      <c r="F52" s="9"/>
      <c r="G52" s="9"/>
      <c r="H52" s="9"/>
      <c r="I52" s="9"/>
      <c r="J52" s="9"/>
      <c r="K52" s="9"/>
      <c r="L52" s="9"/>
    </row>
    <row r="53" spans="1:12" ht="15">
      <c r="A53" s="2"/>
      <c r="B53" s="563" t="s">
        <v>962</v>
      </c>
      <c r="C53" s="7"/>
      <c r="D53" s="7"/>
      <c r="E53" s="7"/>
      <c r="F53" s="7"/>
      <c r="G53" s="7"/>
      <c r="H53" s="7"/>
      <c r="I53" s="7"/>
      <c r="J53" s="7"/>
      <c r="K53" s="7"/>
      <c r="L53" s="7"/>
    </row>
    <row r="54" spans="1:2" ht="13.5">
      <c r="A54" s="2" t="s">
        <v>500</v>
      </c>
      <c r="B54" s="5" t="s">
        <v>916</v>
      </c>
    </row>
    <row r="55" spans="1:2" ht="13.5">
      <c r="A55" s="2"/>
      <c r="B55" s="10" t="s">
        <v>917</v>
      </c>
    </row>
    <row r="56" spans="1:6" ht="15">
      <c r="A56" s="2" t="s">
        <v>501</v>
      </c>
      <c r="B56" s="9" t="s">
        <v>918</v>
      </c>
      <c r="C56" s="9"/>
      <c r="D56" s="9"/>
      <c r="E56" s="9"/>
      <c r="F56" s="9"/>
    </row>
    <row r="57" spans="1:6" ht="15">
      <c r="A57" s="2"/>
      <c r="B57" s="563" t="s">
        <v>919</v>
      </c>
      <c r="C57" s="7"/>
      <c r="D57" s="7"/>
      <c r="E57" s="7"/>
      <c r="F57" s="7"/>
    </row>
    <row r="58" spans="1:7" ht="15">
      <c r="A58" s="2" t="s">
        <v>502</v>
      </c>
      <c r="B58" s="9" t="s">
        <v>920</v>
      </c>
      <c r="C58" s="9"/>
      <c r="D58" s="9"/>
      <c r="E58" s="9"/>
      <c r="F58" s="9"/>
      <c r="G58" s="9"/>
    </row>
    <row r="59" spans="1:7" ht="13.5">
      <c r="A59" s="2"/>
      <c r="B59" s="563" t="s">
        <v>921</v>
      </c>
      <c r="C59" s="7"/>
      <c r="D59" s="7"/>
      <c r="E59" s="7"/>
      <c r="F59" s="7"/>
      <c r="G59" s="7"/>
    </row>
    <row r="60" spans="1:5" ht="13.5">
      <c r="A60" s="2" t="s">
        <v>503</v>
      </c>
      <c r="B60" s="12" t="s">
        <v>965</v>
      </c>
      <c r="C60" s="12"/>
      <c r="D60" s="12"/>
      <c r="E60" s="12"/>
    </row>
    <row r="61" spans="1:5" ht="13.5">
      <c r="A61" s="2"/>
      <c r="B61" s="563" t="s">
        <v>966</v>
      </c>
      <c r="C61" s="7"/>
      <c r="D61" s="7"/>
      <c r="E61" s="7"/>
    </row>
    <row r="62" spans="1:7" ht="13.5">
      <c r="A62" s="2" t="s">
        <v>504</v>
      </c>
      <c r="B62" s="9" t="s">
        <v>925</v>
      </c>
      <c r="C62" s="9"/>
      <c r="D62" s="9"/>
      <c r="E62" s="9"/>
      <c r="F62" s="9"/>
      <c r="G62" s="9"/>
    </row>
    <row r="63" spans="1:7" ht="13.5">
      <c r="A63" s="2"/>
      <c r="B63" s="563" t="s">
        <v>922</v>
      </c>
      <c r="C63" s="7"/>
      <c r="D63" s="7"/>
      <c r="E63" s="7"/>
      <c r="F63" s="7"/>
      <c r="G63" s="7"/>
    </row>
    <row r="64" spans="1:6" ht="15">
      <c r="A64" s="2" t="s">
        <v>505</v>
      </c>
      <c r="B64" s="9" t="s">
        <v>923</v>
      </c>
      <c r="C64" s="9"/>
      <c r="D64" s="9"/>
      <c r="E64" s="9"/>
      <c r="F64" s="9"/>
    </row>
    <row r="65" spans="1:6" ht="13.5">
      <c r="A65" s="2"/>
      <c r="B65" s="563" t="s">
        <v>924</v>
      </c>
      <c r="C65" s="7"/>
      <c r="D65" s="7"/>
      <c r="E65" s="7"/>
      <c r="F65" s="7"/>
    </row>
    <row r="66" spans="1:7" ht="13.5">
      <c r="A66" s="2" t="s">
        <v>506</v>
      </c>
      <c r="B66" s="9" t="s">
        <v>945</v>
      </c>
      <c r="C66" s="9"/>
      <c r="D66" s="9"/>
      <c r="E66" s="9"/>
      <c r="F66" s="9"/>
      <c r="G66" s="9"/>
    </row>
    <row r="67" spans="1:7" ht="13.5">
      <c r="A67" s="2"/>
      <c r="B67" s="563" t="s">
        <v>926</v>
      </c>
      <c r="C67" s="7"/>
      <c r="D67" s="7"/>
      <c r="E67" s="7"/>
      <c r="F67" s="7"/>
      <c r="G67" s="7"/>
    </row>
    <row r="68" spans="1:5" ht="15">
      <c r="A68" s="2" t="s">
        <v>507</v>
      </c>
      <c r="B68" s="9" t="s">
        <v>969</v>
      </c>
      <c r="C68" s="9"/>
      <c r="D68" s="9"/>
      <c r="E68" s="9"/>
    </row>
    <row r="69" spans="1:5" ht="13.5">
      <c r="A69" s="2"/>
      <c r="B69" s="563" t="s">
        <v>970</v>
      </c>
      <c r="C69" s="7"/>
      <c r="D69" s="7"/>
      <c r="E69" s="7"/>
    </row>
    <row r="70" spans="1:7" ht="15">
      <c r="A70" s="2" t="s">
        <v>508</v>
      </c>
      <c r="B70" s="9" t="s">
        <v>927</v>
      </c>
      <c r="C70" s="9"/>
      <c r="D70" s="9"/>
      <c r="E70" s="9"/>
      <c r="F70" s="9"/>
      <c r="G70" s="9"/>
    </row>
    <row r="71" spans="1:7" ht="15" customHeight="1">
      <c r="A71" s="2"/>
      <c r="B71" s="563" t="s">
        <v>928</v>
      </c>
      <c r="C71" s="7"/>
      <c r="D71" s="7"/>
      <c r="E71" s="7"/>
      <c r="F71" s="7"/>
      <c r="G71" s="7"/>
    </row>
    <row r="72" spans="1:6" ht="13.5">
      <c r="A72" s="2" t="s">
        <v>509</v>
      </c>
      <c r="B72" s="9" t="s">
        <v>929</v>
      </c>
      <c r="C72" s="9"/>
      <c r="D72" s="9"/>
      <c r="E72" s="9"/>
      <c r="F72" s="9"/>
    </row>
    <row r="73" spans="1:6" ht="15">
      <c r="A73" s="2"/>
      <c r="B73" s="563" t="s">
        <v>930</v>
      </c>
      <c r="C73" s="7"/>
      <c r="D73" s="7"/>
      <c r="E73" s="7"/>
      <c r="F73" s="7"/>
    </row>
    <row r="74" spans="1:8" ht="15">
      <c r="A74" s="2" t="s">
        <v>510</v>
      </c>
      <c r="B74" s="9" t="s">
        <v>538</v>
      </c>
      <c r="C74" s="9"/>
      <c r="D74" s="9"/>
      <c r="E74" s="9"/>
      <c r="F74" s="9"/>
      <c r="G74" s="9"/>
      <c r="H74" s="9"/>
    </row>
    <row r="75" spans="1:8" ht="15">
      <c r="A75" s="2"/>
      <c r="B75" s="11" t="s">
        <v>539</v>
      </c>
      <c r="C75" s="11"/>
      <c r="D75" s="11"/>
      <c r="E75" s="11"/>
      <c r="F75" s="11"/>
      <c r="G75" s="11"/>
      <c r="H75" s="11"/>
    </row>
    <row r="76" spans="1:7" ht="15">
      <c r="A76" s="2" t="s">
        <v>511</v>
      </c>
      <c r="B76" s="9" t="s">
        <v>931</v>
      </c>
      <c r="C76" s="9"/>
      <c r="D76" s="9"/>
      <c r="E76" s="9"/>
      <c r="F76" s="9"/>
      <c r="G76" s="9"/>
    </row>
    <row r="77" spans="1:7" ht="15">
      <c r="A77" s="2"/>
      <c r="B77" s="563" t="s">
        <v>932</v>
      </c>
      <c r="C77" s="7"/>
      <c r="D77" s="7"/>
      <c r="E77" s="7"/>
      <c r="F77" s="7"/>
      <c r="G77" s="7"/>
    </row>
    <row r="78" spans="1:7" ht="15">
      <c r="A78" s="2" t="s">
        <v>512</v>
      </c>
      <c r="B78" s="9" t="s">
        <v>540</v>
      </c>
      <c r="C78" s="9"/>
      <c r="D78" s="9"/>
      <c r="E78" s="9"/>
      <c r="F78" s="9"/>
      <c r="G78" s="9"/>
    </row>
    <row r="79" spans="1:7" ht="15">
      <c r="A79" s="2"/>
      <c r="B79" s="7" t="s">
        <v>541</v>
      </c>
      <c r="C79" s="7"/>
      <c r="D79" s="7"/>
      <c r="E79" s="7"/>
      <c r="F79" s="7"/>
      <c r="G79" s="7"/>
    </row>
    <row r="80" spans="1:4" ht="15">
      <c r="A80" s="2" t="s">
        <v>513</v>
      </c>
      <c r="B80" s="9" t="s">
        <v>933</v>
      </c>
      <c r="C80" s="9"/>
      <c r="D80" s="9"/>
    </row>
    <row r="81" spans="1:4" ht="13.5">
      <c r="A81" s="2"/>
      <c r="B81" s="563" t="s">
        <v>934</v>
      </c>
      <c r="C81" s="7"/>
      <c r="D81" s="7"/>
    </row>
    <row r="82" spans="1:11" ht="13.5">
      <c r="A82" s="2" t="s">
        <v>514</v>
      </c>
      <c r="B82" s="9" t="s">
        <v>935</v>
      </c>
      <c r="C82" s="9"/>
      <c r="D82" s="9"/>
      <c r="E82" s="9"/>
      <c r="F82" s="9"/>
      <c r="G82" s="9"/>
      <c r="H82" s="9"/>
      <c r="I82" s="9"/>
      <c r="J82" s="9"/>
      <c r="K82" s="9"/>
    </row>
    <row r="83" spans="1:11" ht="15">
      <c r="A83" s="2"/>
      <c r="B83" s="563" t="s">
        <v>936</v>
      </c>
      <c r="C83" s="7"/>
      <c r="D83" s="7"/>
      <c r="E83" s="7"/>
      <c r="F83" s="7"/>
      <c r="G83" s="7"/>
      <c r="H83" s="7"/>
      <c r="I83" s="7"/>
      <c r="J83" s="7"/>
      <c r="K83" s="7"/>
    </row>
    <row r="84" spans="1:8" ht="15">
      <c r="A84" s="2" t="s">
        <v>515</v>
      </c>
      <c r="B84" s="9" t="s">
        <v>972</v>
      </c>
      <c r="C84" s="9"/>
      <c r="D84" s="9"/>
      <c r="E84" s="9"/>
      <c r="F84" s="9"/>
      <c r="G84" s="9"/>
      <c r="H84" s="9"/>
    </row>
    <row r="85" spans="1:8" ht="15">
      <c r="A85" s="2"/>
      <c r="B85" s="7" t="s">
        <v>973</v>
      </c>
      <c r="C85" s="7"/>
      <c r="D85" s="7"/>
      <c r="E85" s="7"/>
      <c r="F85" s="7"/>
      <c r="G85" s="7"/>
      <c r="H85" s="7"/>
    </row>
    <row r="86" spans="1:8" ht="15">
      <c r="A86" s="5" t="s">
        <v>589</v>
      </c>
      <c r="B86" s="7"/>
      <c r="C86" s="7"/>
      <c r="D86" s="7"/>
      <c r="E86" s="7"/>
      <c r="F86" s="7"/>
      <c r="G86" s="7"/>
      <c r="H86" s="7"/>
    </row>
    <row r="87" spans="1:6" ht="15">
      <c r="A87" s="2" t="s">
        <v>516</v>
      </c>
      <c r="B87" s="9" t="s">
        <v>542</v>
      </c>
      <c r="C87" s="9"/>
      <c r="D87" s="9"/>
      <c r="E87" s="9"/>
      <c r="F87" s="9"/>
    </row>
    <row r="88" spans="1:6" ht="15">
      <c r="A88" s="2"/>
      <c r="B88" s="7" t="s">
        <v>347</v>
      </c>
      <c r="C88" s="7"/>
      <c r="D88" s="7"/>
      <c r="E88" s="7"/>
      <c r="F88" s="7"/>
    </row>
    <row r="89" spans="1:6" ht="15">
      <c r="A89" s="2" t="s">
        <v>517</v>
      </c>
      <c r="B89" s="9" t="s">
        <v>543</v>
      </c>
      <c r="C89" s="9"/>
      <c r="D89" s="9"/>
      <c r="E89" s="9"/>
      <c r="F89" s="9"/>
    </row>
    <row r="90" spans="1:6" ht="15">
      <c r="A90" s="2"/>
      <c r="B90" s="7" t="s">
        <v>544</v>
      </c>
      <c r="C90" s="7"/>
      <c r="D90" s="7"/>
      <c r="E90" s="7"/>
      <c r="F90" s="7"/>
    </row>
    <row r="91" spans="1:6" ht="15">
      <c r="A91" s="2" t="s">
        <v>518</v>
      </c>
      <c r="B91" s="9" t="s">
        <v>946</v>
      </c>
      <c r="C91" s="9"/>
      <c r="D91" s="9"/>
      <c r="E91" s="9"/>
      <c r="F91" s="9"/>
    </row>
    <row r="92" spans="1:6" ht="15">
      <c r="A92" s="2"/>
      <c r="B92" s="564" t="s">
        <v>947</v>
      </c>
      <c r="C92" s="7"/>
      <c r="D92" s="7"/>
      <c r="E92" s="7"/>
      <c r="F92" s="7"/>
    </row>
    <row r="93" spans="1:7" ht="15">
      <c r="A93" s="2" t="s">
        <v>519</v>
      </c>
      <c r="B93" s="12" t="s">
        <v>937</v>
      </c>
      <c r="C93" s="12"/>
      <c r="D93" s="12"/>
      <c r="E93" s="12"/>
      <c r="F93" s="12"/>
      <c r="G93" s="12"/>
    </row>
    <row r="94" spans="1:7" ht="15">
      <c r="A94" s="2"/>
      <c r="B94" s="563" t="s">
        <v>938</v>
      </c>
      <c r="C94" s="7"/>
      <c r="D94" s="7"/>
      <c r="E94" s="7"/>
      <c r="F94" s="7"/>
      <c r="G94" s="7"/>
    </row>
    <row r="95" spans="1:6" ht="15">
      <c r="A95" s="2" t="s">
        <v>520</v>
      </c>
      <c r="B95" s="12" t="s">
        <v>939</v>
      </c>
      <c r="C95" s="12"/>
      <c r="D95" s="12"/>
      <c r="E95" s="12"/>
      <c r="F95" s="12"/>
    </row>
    <row r="96" spans="1:6" ht="15" customHeight="1">
      <c r="A96" s="2"/>
      <c r="B96" s="563" t="s">
        <v>940</v>
      </c>
      <c r="C96" s="7"/>
      <c r="D96" s="7"/>
      <c r="E96" s="7"/>
      <c r="F96" s="7"/>
    </row>
    <row r="97" spans="1:6" ht="15" customHeight="1">
      <c r="A97" s="2" t="s">
        <v>521</v>
      </c>
      <c r="B97" s="9" t="s">
        <v>948</v>
      </c>
      <c r="C97" s="9"/>
      <c r="D97" s="9"/>
      <c r="E97" s="9"/>
      <c r="F97" s="9"/>
    </row>
    <row r="98" spans="1:6" ht="13.5">
      <c r="A98" s="2"/>
      <c r="B98" s="564" t="s">
        <v>949</v>
      </c>
      <c r="C98" s="7"/>
      <c r="D98" s="7"/>
      <c r="E98" s="7"/>
      <c r="F98" s="7"/>
    </row>
    <row r="99" spans="1:6" ht="15">
      <c r="A99" s="577" t="s">
        <v>522</v>
      </c>
      <c r="B99" s="9" t="s">
        <v>545</v>
      </c>
      <c r="C99" s="9"/>
      <c r="D99" s="9"/>
      <c r="E99" s="9"/>
      <c r="F99" s="9"/>
    </row>
    <row r="100" spans="1:6" ht="15">
      <c r="A100" s="2"/>
      <c r="B100" s="7" t="s">
        <v>432</v>
      </c>
      <c r="C100" s="7"/>
      <c r="D100" s="7"/>
      <c r="E100" s="7"/>
      <c r="F100" s="7"/>
    </row>
    <row r="101" spans="1:6" ht="15">
      <c r="A101" s="577" t="s">
        <v>522</v>
      </c>
      <c r="B101" s="9" t="s">
        <v>546</v>
      </c>
      <c r="C101" s="9"/>
      <c r="D101" s="9"/>
      <c r="E101" s="9"/>
      <c r="F101" s="9"/>
    </row>
    <row r="102" spans="1:6" ht="15">
      <c r="A102" s="2"/>
      <c r="B102" s="7" t="s">
        <v>438</v>
      </c>
      <c r="C102" s="7"/>
      <c r="D102" s="7"/>
      <c r="E102" s="7"/>
      <c r="F102" s="7"/>
    </row>
    <row r="103" spans="1:6" ht="15">
      <c r="A103" s="2" t="s">
        <v>523</v>
      </c>
      <c r="B103" s="9" t="s">
        <v>547</v>
      </c>
      <c r="C103" s="9"/>
      <c r="D103" s="9"/>
      <c r="E103" s="9"/>
      <c r="F103" s="9"/>
    </row>
    <row r="104" spans="1:6" ht="15">
      <c r="A104" s="2"/>
      <c r="B104" s="7" t="s">
        <v>548</v>
      </c>
      <c r="C104" s="7"/>
      <c r="D104" s="7"/>
      <c r="E104" s="7"/>
      <c r="F104" s="7"/>
    </row>
    <row r="105" spans="1:6" ht="15">
      <c r="A105" s="2" t="s">
        <v>524</v>
      </c>
      <c r="B105" s="9" t="s">
        <v>549</v>
      </c>
      <c r="C105" s="9"/>
      <c r="D105" s="9"/>
      <c r="E105" s="9"/>
      <c r="F105" s="9"/>
    </row>
    <row r="106" spans="1:6" ht="15">
      <c r="A106" s="2"/>
      <c r="B106" s="7" t="s">
        <v>550</v>
      </c>
      <c r="C106" s="7"/>
      <c r="D106" s="7"/>
      <c r="E106" s="7"/>
      <c r="F106" s="7"/>
    </row>
    <row r="107" spans="1:6" ht="15">
      <c r="A107" s="577" t="s">
        <v>525</v>
      </c>
      <c r="B107" s="9" t="s">
        <v>551</v>
      </c>
      <c r="C107" s="9"/>
      <c r="D107" s="9"/>
      <c r="E107" s="9"/>
      <c r="F107" s="9"/>
    </row>
    <row r="108" spans="1:6" ht="15">
      <c r="A108" s="2"/>
      <c r="B108" s="7" t="s">
        <v>552</v>
      </c>
      <c r="C108" s="7"/>
      <c r="D108" s="7"/>
      <c r="E108" s="7"/>
      <c r="F108" s="7"/>
    </row>
    <row r="109" spans="1:6" ht="15">
      <c r="A109" s="578" t="s">
        <v>974</v>
      </c>
      <c r="B109" s="9" t="s">
        <v>145</v>
      </c>
      <c r="C109" s="9"/>
      <c r="D109" s="9"/>
      <c r="E109" s="9"/>
      <c r="F109" s="9"/>
    </row>
    <row r="110" spans="2:6" ht="15">
      <c r="B110" s="7" t="s">
        <v>479</v>
      </c>
      <c r="C110" s="7"/>
      <c r="D110" s="7"/>
      <c r="E110" s="7"/>
      <c r="F110" s="7"/>
    </row>
  </sheetData>
  <mergeCells count="1">
    <mergeCell ref="B51:L51"/>
  </mergeCells>
  <hyperlinks>
    <hyperlink ref="A1" location="'Spis tablic'!A1" display="Spis tablic"/>
    <hyperlink ref="A3" location="'TABL.I.1'!A1" display="TABL.I.1"/>
    <hyperlink ref="A5" location="'TABL.I.2'!A1" display="TABL.I.2"/>
    <hyperlink ref="A7" location="'TABL.I.3'!A1" display="TABL.I.3"/>
    <hyperlink ref="A9" location="'TABL.I.4'!A1" display="TABL.I.4"/>
    <hyperlink ref="A11" location="'TABL.I.5'!A1" display="TABL.I.5"/>
    <hyperlink ref="A13" location="'TABL.I.6'!A1" display="TABL.I.6"/>
    <hyperlink ref="A15" location="'TABL.I.7'!A1" display="TABL.I.7"/>
    <hyperlink ref="A17" location="'TABL.I.8'!A1" display="TABL.I.8"/>
    <hyperlink ref="A19" location="'TABL.I.9'!A1" display="TABL.I.9"/>
    <hyperlink ref="A21" location="'TABL.I.10'!A1" display="TABL.I.10"/>
    <hyperlink ref="A23" location="'TABL.I.11'!A1" display="TABL.I.11"/>
    <hyperlink ref="A25" location="'TABL.I.12'!A1" display="TABL.I.12"/>
    <hyperlink ref="A27" location="'TABL.I.13'!A1" display="TABL.I.13"/>
    <hyperlink ref="A29" location="'TABL.I.14'!A1" display="TABL.I.14"/>
    <hyperlink ref="A31" location="'TABL.I.15'!A1" display="TABL.I.15"/>
    <hyperlink ref="A33" location="'TABL.I.16'!A1" display="TABL.I.16"/>
    <hyperlink ref="A35" location="'TABL.I.17'!A1" display="TABL.I.17"/>
    <hyperlink ref="A38" location="'TABL.II.18'!A1" display="TABL.II.18"/>
    <hyperlink ref="A40" location="'TABL.II.19'!A1" display="TABL.II.19"/>
    <hyperlink ref="A42" location="'TABL.II.20'!A1" display="TABL.II.20"/>
    <hyperlink ref="A44" location="'TABL.II.21'!A1" display="TABL.II.21"/>
    <hyperlink ref="A46" location="'TABL.II.22'!A1" display="TABL.II.22"/>
    <hyperlink ref="A48" location="'TABL.II.23'!A1" display="TABL.II.23"/>
    <hyperlink ref="A50" location="'TABL.II.24'!A1" display="TABL.II.24"/>
    <hyperlink ref="A52" location="'TABL.II.25'!A1" display="TABL.II.25"/>
    <hyperlink ref="A54" location="'TABL.II.26'!A1" display="TABL.II.26"/>
    <hyperlink ref="A56" location="'TABL.II.27'!A1" display="TABL.II.27"/>
    <hyperlink ref="A58" location="'TABL.II.28'!A1" display="TABL.II.28"/>
    <hyperlink ref="A60" location="'TABL.II.29'!A1" display="TABL.II.29"/>
    <hyperlink ref="A62" location="'TABL.II.30'!A1" display="TABL.II.30"/>
    <hyperlink ref="A64" location="'TABL.II.31'!A1" display="TABL.II.31"/>
    <hyperlink ref="A66" location="'TABL.II.32'!A1" display="TABL.II.32"/>
    <hyperlink ref="A68" location="'TABL.II.33'!A1" display="TABL.II.33"/>
    <hyperlink ref="A70" location="'TABL.II.34'!A1" display="TABL.II.34"/>
    <hyperlink ref="A72" location="'TABL.II.35'!A1" display="TABL.II.35"/>
    <hyperlink ref="A74" location="'TABL.II.36'!A1" display="TABL.II.36"/>
    <hyperlink ref="A76" location="'TABL.II.37'!A1" display="TABL.II.37"/>
    <hyperlink ref="A78" location="'TABL.II.38'!A1" display="TABL.II.38"/>
    <hyperlink ref="A80" location="'TABL.II.39'!A1" display="TABL.II.39"/>
    <hyperlink ref="A82" location="'TABL.II.40'!A1" display="TABL.II.40"/>
    <hyperlink ref="A84" location="'TABL.II.41'!A1" display="TABL.II.41"/>
    <hyperlink ref="A87" location="'TABL.III.42G'!A1" display="TABL.III.42G"/>
    <hyperlink ref="A89" location="'TABL.III.43G'!A1" display="TABL.III.43G"/>
    <hyperlink ref="A91" location="'TABL.III.44G'!A1" display="TABL.III.44G"/>
    <hyperlink ref="A93" location="'TABL.III.45G'!A1" display="TABL.III.45G"/>
    <hyperlink ref="A95" location="'TABL.III.46G'!A1" display="TABL.III.46G"/>
    <hyperlink ref="A97" location="'TABL.III.47G'!A1" display="TABL.III.47G"/>
    <hyperlink ref="A99" location="'TABL.III.48S i 49'!A1" display="TABL.III.48S"/>
    <hyperlink ref="A103" location="'TABL.III.50G'!A1" display="TABL.III.50G"/>
    <hyperlink ref="A105" location="'TABL.III.51S'!A1" display="TABL.III.51S"/>
    <hyperlink ref="A101" location="'TABL.III.48S i 49'!A1" display="TABL.III.48S"/>
    <hyperlink ref="A107" location="'TABL.III.52G i 53'!A1" display="TABL.III.52G"/>
    <hyperlink ref="A109" location="'TABL.III.52G i 53'!A1" display="'TABL.III.52G i 53'!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Layout" workbookViewId="0" topLeftCell="A19">
      <selection activeCell="E31" sqref="E31"/>
    </sheetView>
  </sheetViews>
  <sheetFormatPr defaultColWidth="9.140625" defaultRowHeight="15"/>
  <cols>
    <col min="1" max="1" width="26.28125" style="96" customWidth="1"/>
    <col min="2" max="2" width="6.140625" style="96" customWidth="1"/>
    <col min="3" max="6" width="13.7109375" style="96" customWidth="1"/>
    <col min="7" max="11" width="6.28125" style="96" customWidth="1"/>
    <col min="12" max="16384" width="9.140625" style="96" customWidth="1"/>
  </cols>
  <sheetData>
    <row r="1" spans="1:6" ht="27.95" customHeight="1">
      <c r="A1" s="584" t="s">
        <v>882</v>
      </c>
      <c r="B1" s="584"/>
      <c r="C1" s="584"/>
      <c r="D1" s="584"/>
      <c r="E1" s="584"/>
      <c r="F1" s="584"/>
    </row>
    <row r="2" spans="1:6" ht="27.95" customHeight="1">
      <c r="A2" s="579" t="s">
        <v>942</v>
      </c>
      <c r="B2" s="579"/>
      <c r="C2" s="579"/>
      <c r="D2" s="579"/>
      <c r="E2" s="579"/>
      <c r="F2" s="579"/>
    </row>
    <row r="3" spans="1:6" ht="9.95" customHeight="1">
      <c r="A3" s="97"/>
      <c r="B3" s="97"/>
      <c r="C3" s="97"/>
      <c r="D3" s="97"/>
      <c r="E3" s="97"/>
      <c r="F3" s="97"/>
    </row>
    <row r="4" spans="1:6" ht="75.75" customHeight="1">
      <c r="A4" s="613" t="s">
        <v>602</v>
      </c>
      <c r="B4" s="614"/>
      <c r="C4" s="98" t="s">
        <v>620</v>
      </c>
      <c r="D4" s="98" t="s">
        <v>621</v>
      </c>
      <c r="E4" s="98" t="s">
        <v>622</v>
      </c>
      <c r="F4" s="99" t="s">
        <v>614</v>
      </c>
    </row>
    <row r="5" spans="1:6" ht="21" customHeight="1">
      <c r="A5" s="612" t="s">
        <v>635</v>
      </c>
      <c r="B5" s="612"/>
      <c r="C5" s="612"/>
      <c r="D5" s="612"/>
      <c r="E5" s="612"/>
      <c r="F5" s="612"/>
    </row>
    <row r="6" spans="1:6" ht="13.5">
      <c r="A6" s="124" t="s">
        <v>268</v>
      </c>
      <c r="B6" s="65">
        <v>2017</v>
      </c>
      <c r="C6" s="83" t="s">
        <v>633</v>
      </c>
      <c r="D6" s="64" t="s">
        <v>563</v>
      </c>
      <c r="E6" s="64">
        <v>212.4</v>
      </c>
      <c r="F6" s="76">
        <v>44.3</v>
      </c>
    </row>
    <row r="7" spans="1:6" ht="15">
      <c r="A7" s="125" t="s">
        <v>229</v>
      </c>
      <c r="B7" s="56">
        <v>2016</v>
      </c>
      <c r="C7" s="101">
        <v>1194.4</v>
      </c>
      <c r="D7" s="101">
        <v>934.3</v>
      </c>
      <c r="E7" s="101">
        <v>215.5</v>
      </c>
      <c r="F7" s="90">
        <v>44.5</v>
      </c>
    </row>
    <row r="8" spans="1:6" ht="14.1" customHeight="1">
      <c r="A8" s="102"/>
      <c r="B8" s="102"/>
      <c r="C8" s="134"/>
      <c r="D8" s="134"/>
      <c r="E8" s="134"/>
      <c r="F8" s="135"/>
    </row>
    <row r="9" spans="1:6" ht="14.1" customHeight="1">
      <c r="A9" s="611" t="s">
        <v>875</v>
      </c>
      <c r="B9" s="611"/>
      <c r="C9" s="105">
        <v>165.129</v>
      </c>
      <c r="D9" s="105">
        <v>135.451</v>
      </c>
      <c r="E9" s="105">
        <v>23.35</v>
      </c>
      <c r="F9" s="106">
        <v>6.325</v>
      </c>
    </row>
    <row r="10" spans="1:6" ht="14.1" customHeight="1">
      <c r="A10" s="611" t="s">
        <v>868</v>
      </c>
      <c r="B10" s="611"/>
      <c r="C10" s="105">
        <v>133.396</v>
      </c>
      <c r="D10" s="105">
        <v>96.16</v>
      </c>
      <c r="E10" s="105">
        <v>32.499</v>
      </c>
      <c r="F10" s="106">
        <v>4.654</v>
      </c>
    </row>
    <row r="11" spans="1:6" ht="14.1" customHeight="1">
      <c r="A11" s="611" t="s">
        <v>876</v>
      </c>
      <c r="B11" s="611"/>
      <c r="C11" s="105">
        <v>308.863</v>
      </c>
      <c r="D11" s="105">
        <v>244.277</v>
      </c>
      <c r="E11" s="105">
        <v>53.788</v>
      </c>
      <c r="F11" s="106">
        <v>10.795</v>
      </c>
    </row>
    <row r="12" spans="1:6" ht="14.1" customHeight="1">
      <c r="A12" s="611" t="s">
        <v>877</v>
      </c>
      <c r="B12" s="611"/>
      <c r="C12" s="105">
        <v>160.287</v>
      </c>
      <c r="D12" s="105">
        <v>121.353</v>
      </c>
      <c r="E12" s="105">
        <v>32.515</v>
      </c>
      <c r="F12" s="106">
        <v>6.403</v>
      </c>
    </row>
    <row r="13" spans="1:6" ht="14.1" customHeight="1">
      <c r="A13" s="611" t="s">
        <v>878</v>
      </c>
      <c r="B13" s="611"/>
      <c r="C13" s="105">
        <v>69.577</v>
      </c>
      <c r="D13" s="105">
        <v>55.52</v>
      </c>
      <c r="E13" s="105">
        <v>11.484</v>
      </c>
      <c r="F13" s="106">
        <v>2.558</v>
      </c>
    </row>
    <row r="14" spans="1:6" ht="14.1" customHeight="1">
      <c r="A14" s="611" t="s">
        <v>879</v>
      </c>
      <c r="B14" s="611"/>
      <c r="C14" s="105">
        <v>157.201</v>
      </c>
      <c r="D14" s="105">
        <v>118.527</v>
      </c>
      <c r="E14" s="105">
        <v>32.324</v>
      </c>
      <c r="F14" s="106">
        <v>6.348</v>
      </c>
    </row>
    <row r="15" spans="1:6" ht="14.1" customHeight="1">
      <c r="A15" s="611" t="s">
        <v>881</v>
      </c>
      <c r="B15" s="615"/>
      <c r="C15" s="136">
        <v>179.688</v>
      </c>
      <c r="D15" s="137">
        <v>145.981</v>
      </c>
      <c r="E15" s="136">
        <v>26.455</v>
      </c>
      <c r="F15" s="136">
        <v>7.252</v>
      </c>
    </row>
    <row r="16" spans="1:6" s="107" customFormat="1" ht="23.25" customHeight="1">
      <c r="A16" s="610" t="s">
        <v>560</v>
      </c>
      <c r="B16" s="610"/>
      <c r="C16" s="610"/>
      <c r="D16" s="610"/>
      <c r="E16" s="610"/>
      <c r="F16" s="610"/>
    </row>
    <row r="17" spans="1:6" ht="15">
      <c r="A17" s="124" t="s">
        <v>634</v>
      </c>
      <c r="B17" s="65">
        <v>2017</v>
      </c>
      <c r="C17" s="100">
        <f>1175.3/1194.4*100</f>
        <v>98.40087073007366</v>
      </c>
      <c r="D17" s="100">
        <f>918.4/D7*100</f>
        <v>98.29819115915659</v>
      </c>
      <c r="E17" s="100">
        <f>E6/E7*100</f>
        <v>98.56148491879351</v>
      </c>
      <c r="F17" s="109">
        <v>99.7</v>
      </c>
    </row>
    <row r="18" spans="1:6" ht="15">
      <c r="A18" s="138" t="s">
        <v>229</v>
      </c>
      <c r="B18" s="54"/>
      <c r="C18" s="64"/>
      <c r="D18" s="64"/>
      <c r="E18" s="64"/>
      <c r="F18" s="76"/>
    </row>
    <row r="19" spans="1:6" ht="15">
      <c r="A19" s="61"/>
      <c r="B19" s="56"/>
      <c r="C19" s="64"/>
      <c r="D19" s="64"/>
      <c r="E19" s="64"/>
      <c r="F19" s="76"/>
    </row>
    <row r="20" spans="1:6" ht="14.1" customHeight="1">
      <c r="A20" s="611" t="s">
        <v>875</v>
      </c>
      <c r="B20" s="611"/>
      <c r="C20" s="110">
        <f>C9/167.375*100</f>
        <v>98.65810306198655</v>
      </c>
      <c r="D20" s="110">
        <f>D9/137.357*100</f>
        <v>98.61237505187212</v>
      </c>
      <c r="E20" s="110">
        <f>E9/23.63*100</f>
        <v>98.81506559458316</v>
      </c>
      <c r="F20" s="111">
        <f>F9/6.386*100</f>
        <v>99.04478546821171</v>
      </c>
    </row>
    <row r="21" spans="1:6" ht="14.1" customHeight="1">
      <c r="A21" s="611" t="s">
        <v>868</v>
      </c>
      <c r="B21" s="611"/>
      <c r="C21" s="110">
        <f>C10/135.813*100</f>
        <v>98.22034709490255</v>
      </c>
      <c r="D21" s="110">
        <f>D10/98.972*100</f>
        <v>97.15879238572526</v>
      </c>
      <c r="E21" s="110">
        <f>E10/32.15*100</f>
        <v>101.0855365474339</v>
      </c>
      <c r="F21" s="111">
        <f>F10/4.596*100</f>
        <v>101.26196692776325</v>
      </c>
    </row>
    <row r="22" spans="1:6" ht="14.1" customHeight="1">
      <c r="A22" s="611" t="s">
        <v>876</v>
      </c>
      <c r="B22" s="611"/>
      <c r="C22" s="110">
        <f>C11/315.698*100</f>
        <v>97.83495619231037</v>
      </c>
      <c r="D22" s="110">
        <f>D11/250.124*100</f>
        <v>97.66235946970302</v>
      </c>
      <c r="E22" s="110">
        <f>E11/54.725*100</f>
        <v>98.28780264961169</v>
      </c>
      <c r="F22" s="111">
        <f>F11/10.844*100</f>
        <v>99.54813721873847</v>
      </c>
    </row>
    <row r="23" spans="1:6" ht="14.1" customHeight="1">
      <c r="A23" s="611" t="s">
        <v>877</v>
      </c>
      <c r="B23" s="611"/>
      <c r="C23" s="110">
        <f>C12/161.997*100</f>
        <v>98.94442489675734</v>
      </c>
      <c r="D23" s="110">
        <f>D12/122.463*100</f>
        <v>99.09360378236693</v>
      </c>
      <c r="E23" s="110">
        <f>E12/33.111*100</f>
        <v>98.19999395971128</v>
      </c>
      <c r="F23" s="111">
        <f>F12/6.406*100</f>
        <v>99.95316890415236</v>
      </c>
    </row>
    <row r="24" spans="1:6" ht="14.1" customHeight="1">
      <c r="A24" s="611" t="s">
        <v>878</v>
      </c>
      <c r="B24" s="611"/>
      <c r="C24" s="110">
        <f>C13/71.393*100</f>
        <v>97.45633325396047</v>
      </c>
      <c r="D24" s="110">
        <f>D13/57.084*100</f>
        <v>97.26017798332282</v>
      </c>
      <c r="E24" s="110">
        <f>E13/11.73*100</f>
        <v>97.90281329923273</v>
      </c>
      <c r="F24" s="111">
        <f>F13/2.564*100</f>
        <v>99.76599063962558</v>
      </c>
    </row>
    <row r="25" spans="1:6" ht="14.1" customHeight="1">
      <c r="A25" s="611" t="s">
        <v>879</v>
      </c>
      <c r="B25" s="611"/>
      <c r="C25" s="110">
        <f>C14/158.664*100</f>
        <v>99.07792567942319</v>
      </c>
      <c r="D25" s="110">
        <f>D14/119.118*100</f>
        <v>99.5038533219161</v>
      </c>
      <c r="E25" s="110">
        <f>E14/33.136*100</f>
        <v>97.54949299855141</v>
      </c>
      <c r="F25" s="111">
        <f>F14/6.406*100</f>
        <v>99.09459881361225</v>
      </c>
    </row>
    <row r="26" spans="1:6" ht="14.1" customHeight="1">
      <c r="A26" s="611" t="s">
        <v>881</v>
      </c>
      <c r="B26" s="615"/>
      <c r="C26" s="139">
        <f>C15/182.187*100</f>
        <v>98.62833242767046</v>
      </c>
      <c r="D26" s="140">
        <f>D15/147.865*100</f>
        <v>98.72586480911642</v>
      </c>
      <c r="E26" s="141">
        <f>E15/27.02*100</f>
        <v>97.90895632864544</v>
      </c>
      <c r="F26" s="140">
        <f>F15/7.284*100</f>
        <v>99.56068094453597</v>
      </c>
    </row>
    <row r="28" spans="1:6" ht="28.5" customHeight="1">
      <c r="A28" s="616" t="s">
        <v>631</v>
      </c>
      <c r="B28" s="616"/>
      <c r="C28" s="616"/>
      <c r="D28" s="616"/>
      <c r="E28" s="616"/>
      <c r="F28" s="616"/>
    </row>
    <row r="29" spans="1:6" ht="31.5" customHeight="1">
      <c r="A29" s="608" t="s">
        <v>632</v>
      </c>
      <c r="B29" s="608"/>
      <c r="C29" s="608"/>
      <c r="D29" s="608"/>
      <c r="E29" s="608"/>
      <c r="F29" s="608"/>
    </row>
  </sheetData>
  <mergeCells count="21">
    <mergeCell ref="A28:F28"/>
    <mergeCell ref="A29:F29"/>
    <mergeCell ref="A15:B15"/>
    <mergeCell ref="A14:B14"/>
    <mergeCell ref="A21:B21"/>
    <mergeCell ref="A22:B22"/>
    <mergeCell ref="A23:B23"/>
    <mergeCell ref="A24:B24"/>
    <mergeCell ref="A25:B25"/>
    <mergeCell ref="A26:B26"/>
    <mergeCell ref="A1:F1"/>
    <mergeCell ref="A2:F2"/>
    <mergeCell ref="A9:B9"/>
    <mergeCell ref="A10:B10"/>
    <mergeCell ref="A11:B11"/>
    <mergeCell ref="A12:B12"/>
    <mergeCell ref="A13:B13"/>
    <mergeCell ref="A5:F5"/>
    <mergeCell ref="A4:B4"/>
    <mergeCell ref="A20:B20"/>
    <mergeCell ref="A16:F1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44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workbookViewId="0" topLeftCell="A16">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8.1" customHeight="1">
      <c r="A1" s="584" t="s">
        <v>269</v>
      </c>
      <c r="B1" s="584"/>
      <c r="C1" s="584"/>
      <c r="D1" s="584"/>
      <c r="E1" s="584"/>
      <c r="F1" s="584"/>
    </row>
    <row r="2" spans="1:6" ht="38.1" customHeight="1">
      <c r="A2" s="579" t="s">
        <v>270</v>
      </c>
      <c r="B2" s="579"/>
      <c r="C2" s="579"/>
      <c r="D2" s="579"/>
      <c r="E2" s="579"/>
      <c r="F2" s="579"/>
    </row>
    <row r="3" spans="1:6" ht="9.95" customHeight="1">
      <c r="A3" s="97"/>
      <c r="B3" s="97"/>
      <c r="C3" s="97"/>
      <c r="D3" s="97"/>
      <c r="E3" s="97"/>
      <c r="F3" s="97"/>
    </row>
    <row r="4" spans="1:6" ht="75.75" customHeight="1">
      <c r="A4" s="613" t="s">
        <v>602</v>
      </c>
      <c r="B4" s="614"/>
      <c r="C4" s="98" t="s">
        <v>636</v>
      </c>
      <c r="D4" s="98" t="s">
        <v>637</v>
      </c>
      <c r="E4" s="98" t="s">
        <v>638</v>
      </c>
      <c r="F4" s="99" t="s">
        <v>639</v>
      </c>
    </row>
    <row r="5" spans="1:6" ht="21" customHeight="1">
      <c r="A5" s="612" t="s">
        <v>640</v>
      </c>
      <c r="B5" s="612"/>
      <c r="C5" s="612"/>
      <c r="D5" s="612"/>
      <c r="E5" s="612"/>
      <c r="F5" s="612"/>
    </row>
    <row r="6" spans="1:6" ht="15">
      <c r="A6" s="124" t="s">
        <v>230</v>
      </c>
      <c r="B6" s="59">
        <v>2017</v>
      </c>
      <c r="C6" s="74">
        <f>D6+E6+F6</f>
        <v>401656.82999999996</v>
      </c>
      <c r="D6" s="58">
        <f>1952710/12</f>
        <v>162725.83333333334</v>
      </c>
      <c r="E6" s="58">
        <v>32437.08</v>
      </c>
      <c r="F6" s="142">
        <f>2477927/12</f>
        <v>206493.91666666666</v>
      </c>
    </row>
    <row r="7" spans="1:6" ht="20.25" customHeight="1">
      <c r="A7" s="125" t="s">
        <v>231</v>
      </c>
      <c r="B7" s="54">
        <v>2016</v>
      </c>
      <c r="C7" s="143">
        <v>401718</v>
      </c>
      <c r="D7" s="144">
        <v>163461</v>
      </c>
      <c r="E7" s="144">
        <v>32166</v>
      </c>
      <c r="F7" s="145">
        <v>206091</v>
      </c>
    </row>
    <row r="8" spans="1:6" ht="14.1" customHeight="1">
      <c r="A8" s="102"/>
      <c r="B8" s="102"/>
      <c r="C8" s="103"/>
      <c r="D8" s="103"/>
      <c r="E8" s="103"/>
      <c r="F8" s="104"/>
    </row>
    <row r="9" spans="1:6" ht="15" customHeight="1">
      <c r="A9" s="611" t="s">
        <v>236</v>
      </c>
      <c r="B9" s="615"/>
      <c r="C9" s="146">
        <f>D9+E9+F9</f>
        <v>285595.3333333334</v>
      </c>
      <c r="D9" s="146">
        <f>1312100/12</f>
        <v>109341.66666666667</v>
      </c>
      <c r="E9" s="146">
        <v>24164</v>
      </c>
      <c r="F9" s="147">
        <f>1825076/12</f>
        <v>152089.66666666666</v>
      </c>
    </row>
    <row r="10" spans="1:6" ht="15" customHeight="1">
      <c r="A10" s="619" t="s">
        <v>232</v>
      </c>
      <c r="B10" s="620"/>
      <c r="C10" s="148"/>
      <c r="D10" s="148"/>
      <c r="E10" s="148"/>
      <c r="F10" s="149"/>
    </row>
    <row r="11" spans="1:6" ht="15" customHeight="1">
      <c r="A11" s="611" t="s">
        <v>233</v>
      </c>
      <c r="B11" s="611"/>
      <c r="C11" s="146">
        <f>D11+E11+F11</f>
        <v>30859.746666666666</v>
      </c>
      <c r="D11" s="146">
        <f>161030/12</f>
        <v>13419.166666666666</v>
      </c>
      <c r="E11" s="146">
        <v>2210.58</v>
      </c>
      <c r="F11" s="147">
        <v>15230</v>
      </c>
    </row>
    <row r="12" spans="1:6" ht="15" customHeight="1">
      <c r="A12" s="619" t="s">
        <v>90</v>
      </c>
      <c r="B12" s="620"/>
      <c r="C12" s="148"/>
      <c r="D12" s="148"/>
      <c r="E12" s="148"/>
      <c r="F12" s="149"/>
    </row>
    <row r="13" spans="1:6" ht="15" customHeight="1">
      <c r="A13" s="611" t="s">
        <v>234</v>
      </c>
      <c r="B13" s="615"/>
      <c r="C13" s="146">
        <f>D13+E13+F13</f>
        <v>85200.75</v>
      </c>
      <c r="D13" s="146">
        <f>479580/12</f>
        <v>39965</v>
      </c>
      <c r="E13" s="146">
        <v>6062</v>
      </c>
      <c r="F13" s="147">
        <f>470085/12</f>
        <v>39173.75</v>
      </c>
    </row>
    <row r="14" spans="1:6" ht="15" customHeight="1">
      <c r="A14" s="619" t="s">
        <v>92</v>
      </c>
      <c r="B14" s="620"/>
      <c r="C14" s="148"/>
      <c r="D14" s="148"/>
      <c r="E14" s="148"/>
      <c r="F14" s="149"/>
    </row>
    <row r="15" spans="1:6" s="107" customFormat="1" ht="23.25" customHeight="1">
      <c r="A15" s="610" t="s">
        <v>560</v>
      </c>
      <c r="B15" s="610"/>
      <c r="C15" s="610"/>
      <c r="D15" s="610"/>
      <c r="E15" s="610"/>
      <c r="F15" s="610"/>
    </row>
    <row r="16" spans="1:6" ht="15" customHeight="1">
      <c r="A16" s="611" t="s">
        <v>235</v>
      </c>
      <c r="B16" s="611"/>
      <c r="C16" s="110">
        <f>C6/C7*100</f>
        <v>99.9847729003928</v>
      </c>
      <c r="D16" s="110">
        <f>D6/D7*100</f>
        <v>99.55024949886109</v>
      </c>
      <c r="E16" s="110">
        <f>E6/E7*100</f>
        <v>100.84275321768328</v>
      </c>
      <c r="F16" s="111">
        <f>F6/F7*100</f>
        <v>100.19550425135822</v>
      </c>
    </row>
    <row r="17" spans="1:6" ht="15" customHeight="1">
      <c r="A17" s="619" t="s">
        <v>231</v>
      </c>
      <c r="B17" s="620"/>
      <c r="C17" s="148"/>
      <c r="D17" s="148"/>
      <c r="E17" s="148"/>
      <c r="F17" s="149"/>
    </row>
    <row r="18" spans="1:6" ht="15" customHeight="1">
      <c r="A18" s="611" t="s">
        <v>236</v>
      </c>
      <c r="B18" s="611"/>
      <c r="C18" s="110">
        <v>100.9</v>
      </c>
      <c r="D18" s="110">
        <f>D9/109551*100</f>
        <v>99.80891700364823</v>
      </c>
      <c r="E18" s="110">
        <f>E9/23909*100</f>
        <v>101.06654397925467</v>
      </c>
      <c r="F18" s="111">
        <f>F9/149714*100</f>
        <v>101.58680328270347</v>
      </c>
    </row>
    <row r="19" spans="1:6" ht="15" customHeight="1">
      <c r="A19" s="619" t="s">
        <v>237</v>
      </c>
      <c r="B19" s="620"/>
      <c r="C19" s="148"/>
      <c r="D19" s="148"/>
      <c r="E19" s="148"/>
      <c r="F19" s="149"/>
    </row>
    <row r="20" spans="1:6" ht="15" customHeight="1">
      <c r="A20" s="611" t="s">
        <v>233</v>
      </c>
      <c r="B20" s="611"/>
      <c r="C20" s="110">
        <f>C11/32826*100</f>
        <v>94.0100733158675</v>
      </c>
      <c r="D20" s="110">
        <f>D11/14001*100</f>
        <v>95.84434445158678</v>
      </c>
      <c r="E20" s="110">
        <f>E11/2220*100</f>
        <v>99.57567567567567</v>
      </c>
      <c r="F20" s="111">
        <f>F11/16605*100</f>
        <v>91.71936163806083</v>
      </c>
    </row>
    <row r="21" spans="1:6" ht="15" customHeight="1">
      <c r="A21" s="619" t="s">
        <v>90</v>
      </c>
      <c r="B21" s="620"/>
      <c r="C21" s="148"/>
      <c r="D21" s="148"/>
      <c r="E21" s="148"/>
      <c r="F21" s="150"/>
    </row>
    <row r="22" spans="1:6" ht="15" customHeight="1">
      <c r="A22" s="611" t="s">
        <v>234</v>
      </c>
      <c r="B22" s="615"/>
      <c r="C22" s="110">
        <f>C13/85718*100</f>
        <v>99.39656781539466</v>
      </c>
      <c r="D22" s="110">
        <f>D13/39909*100</f>
        <v>100.1403192262397</v>
      </c>
      <c r="E22" s="110">
        <f>E13/6037*100</f>
        <v>100.41411297001821</v>
      </c>
      <c r="F22" s="139">
        <f>F13/39772*100</f>
        <v>98.49580106607664</v>
      </c>
    </row>
    <row r="23" spans="1:6" ht="15" customHeight="1">
      <c r="A23" s="619" t="s">
        <v>92</v>
      </c>
      <c r="B23" s="620"/>
      <c r="C23" s="148"/>
      <c r="D23" s="148"/>
      <c r="E23" s="148"/>
      <c r="F23" s="150"/>
    </row>
    <row r="24" spans="1:6" ht="14.1" customHeight="1">
      <c r="A24" s="151"/>
      <c r="B24" s="112"/>
      <c r="C24" s="150"/>
      <c r="D24" s="150"/>
      <c r="E24" s="150"/>
      <c r="F24" s="150"/>
    </row>
    <row r="25" spans="1:6" ht="27.95" customHeight="1">
      <c r="A25" s="609" t="s">
        <v>577</v>
      </c>
      <c r="B25" s="609"/>
      <c r="C25" s="609"/>
      <c r="D25" s="609"/>
      <c r="E25" s="609"/>
      <c r="F25" s="609"/>
    </row>
    <row r="26" spans="1:6" ht="27.95" customHeight="1">
      <c r="A26" s="608" t="s">
        <v>578</v>
      </c>
      <c r="B26" s="608"/>
      <c r="C26" s="608"/>
      <c r="D26" s="608"/>
      <c r="E26" s="608"/>
      <c r="F26" s="608"/>
    </row>
  </sheetData>
  <mergeCells count="21">
    <mergeCell ref="A4:B4"/>
    <mergeCell ref="A15:F15"/>
    <mergeCell ref="A5:F5"/>
    <mergeCell ref="A22:B22"/>
    <mergeCell ref="A23:B23"/>
    <mergeCell ref="A1:F1"/>
    <mergeCell ref="A2:F2"/>
    <mergeCell ref="A26:F26"/>
    <mergeCell ref="A16:B16"/>
    <mergeCell ref="A17:B17"/>
    <mergeCell ref="A18:B18"/>
    <mergeCell ref="A19:B19"/>
    <mergeCell ref="A20:B20"/>
    <mergeCell ref="A21:B21"/>
    <mergeCell ref="A25:F25"/>
    <mergeCell ref="A14:B14"/>
    <mergeCell ref="A9:B9"/>
    <mergeCell ref="A10:B10"/>
    <mergeCell ref="A11:B11"/>
    <mergeCell ref="A12:B12"/>
    <mergeCell ref="A13:B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45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view="pageLayout" workbookViewId="0" topLeftCell="A19">
      <selection activeCell="E31" sqref="E31"/>
    </sheetView>
  </sheetViews>
  <sheetFormatPr defaultColWidth="9.140625" defaultRowHeight="15"/>
  <cols>
    <col min="1" max="1" width="59.140625" style="46" customWidth="1"/>
    <col min="2" max="2" width="27.140625" style="48" customWidth="1"/>
    <col min="3" max="16384" width="9.140625" style="46" customWidth="1"/>
  </cols>
  <sheetData>
    <row r="1" spans="1:2" ht="27.95" customHeight="1">
      <c r="A1" s="584" t="s">
        <v>658</v>
      </c>
      <c r="B1" s="584"/>
    </row>
    <row r="2" spans="1:4" ht="27.95" customHeight="1">
      <c r="A2" s="579" t="s">
        <v>659</v>
      </c>
      <c r="B2" s="579"/>
      <c r="C2" s="47"/>
      <c r="D2" s="47"/>
    </row>
    <row r="3" spans="1:4" ht="9.95" customHeight="1">
      <c r="A3" s="97"/>
      <c r="B3" s="97"/>
      <c r="C3" s="47"/>
      <c r="D3" s="47"/>
    </row>
    <row r="4" spans="1:2" ht="45.75" customHeight="1">
      <c r="A4" s="152" t="s">
        <v>602</v>
      </c>
      <c r="B4" s="567" t="s">
        <v>950</v>
      </c>
    </row>
    <row r="5" spans="1:2" ht="5.1" customHeight="1">
      <c r="A5" s="153"/>
      <c r="B5" s="154"/>
    </row>
    <row r="6" spans="1:4" ht="12.4" customHeight="1">
      <c r="A6" s="155" t="s">
        <v>641</v>
      </c>
      <c r="B6" s="84">
        <f>B8+285.596</f>
        <v>5516.196</v>
      </c>
      <c r="D6" s="63"/>
    </row>
    <row r="7" spans="1:4" ht="12.4" customHeight="1">
      <c r="A7" s="156" t="s">
        <v>642</v>
      </c>
      <c r="B7" s="76"/>
      <c r="D7" s="63"/>
    </row>
    <row r="8" spans="1:4" ht="12.4" customHeight="1">
      <c r="A8" s="157" t="s">
        <v>275</v>
      </c>
      <c r="B8" s="90">
        <v>5230.6</v>
      </c>
      <c r="D8" s="63"/>
    </row>
    <row r="9" spans="1:2" ht="12.4" customHeight="1">
      <c r="A9" s="158" t="s">
        <v>643</v>
      </c>
      <c r="B9" s="166"/>
    </row>
    <row r="10" spans="1:2" ht="12.4" customHeight="1">
      <c r="A10" s="159" t="s">
        <v>644</v>
      </c>
      <c r="B10" s="166"/>
    </row>
    <row r="11" spans="1:2" ht="12.4" customHeight="1">
      <c r="A11" s="160" t="s">
        <v>271</v>
      </c>
      <c r="B11" s="166">
        <v>105.5</v>
      </c>
    </row>
    <row r="12" spans="1:2" ht="12.4" customHeight="1">
      <c r="A12" s="156" t="s">
        <v>53</v>
      </c>
      <c r="B12" s="166"/>
    </row>
    <row r="13" spans="1:2" ht="12" customHeight="1">
      <c r="A13" s="161" t="s">
        <v>645</v>
      </c>
      <c r="B13" s="166">
        <v>92.5</v>
      </c>
    </row>
    <row r="14" spans="1:2" ht="12.4" customHeight="1">
      <c r="A14" s="162" t="s">
        <v>646</v>
      </c>
      <c r="B14" s="166"/>
    </row>
    <row r="15" spans="1:2" ht="12.4" customHeight="1">
      <c r="A15" s="163" t="s">
        <v>272</v>
      </c>
      <c r="B15" s="166">
        <v>205.1</v>
      </c>
    </row>
    <row r="16" spans="1:2" ht="12.4" customHeight="1">
      <c r="A16" s="162" t="s">
        <v>54</v>
      </c>
      <c r="B16" s="166"/>
    </row>
    <row r="17" spans="1:2" ht="12.4" customHeight="1">
      <c r="A17" s="163" t="s">
        <v>276</v>
      </c>
      <c r="B17" s="166">
        <v>250.6</v>
      </c>
    </row>
    <row r="18" spans="1:2" ht="12.4" customHeight="1">
      <c r="A18" s="162" t="s">
        <v>55</v>
      </c>
      <c r="B18" s="166"/>
    </row>
    <row r="19" spans="1:2" ht="12.4" customHeight="1">
      <c r="A19" s="163" t="s">
        <v>273</v>
      </c>
      <c r="B19" s="167">
        <v>67.8</v>
      </c>
    </row>
    <row r="20" spans="1:2" ht="12.4" customHeight="1">
      <c r="A20" s="162" t="s">
        <v>56</v>
      </c>
      <c r="B20" s="166"/>
    </row>
    <row r="21" spans="1:2" ht="12.4" customHeight="1">
      <c r="A21" s="163" t="s">
        <v>274</v>
      </c>
      <c r="B21" s="166">
        <v>0.2</v>
      </c>
    </row>
    <row r="22" spans="1:2" ht="12.4" customHeight="1">
      <c r="A22" s="162" t="s">
        <v>57</v>
      </c>
      <c r="B22" s="166"/>
    </row>
    <row r="23" spans="1:2" ht="12.4" customHeight="1">
      <c r="A23" s="164" t="s">
        <v>647</v>
      </c>
      <c r="B23" s="168">
        <v>906.5</v>
      </c>
    </row>
    <row r="24" spans="1:2" ht="12.4" customHeight="1">
      <c r="A24" s="156" t="s">
        <v>648</v>
      </c>
      <c r="B24" s="166"/>
    </row>
    <row r="25" spans="1:2" ht="12.4" customHeight="1">
      <c r="A25" s="157" t="s">
        <v>275</v>
      </c>
      <c r="B25" s="166">
        <v>875.7</v>
      </c>
    </row>
    <row r="26" spans="1:2" ht="12.4" customHeight="1">
      <c r="A26" s="158" t="s">
        <v>643</v>
      </c>
      <c r="B26" s="166"/>
    </row>
    <row r="27" spans="1:2" ht="12.4" customHeight="1">
      <c r="A27" s="161" t="s">
        <v>649</v>
      </c>
      <c r="B27" s="167">
        <v>12.9</v>
      </c>
    </row>
    <row r="28" spans="1:2" ht="12.4" customHeight="1">
      <c r="A28" s="162" t="s">
        <v>650</v>
      </c>
      <c r="B28" s="167"/>
    </row>
    <row r="29" spans="1:2" ht="12.4" customHeight="1">
      <c r="A29" s="163" t="s">
        <v>272</v>
      </c>
      <c r="B29" s="166">
        <v>26.1</v>
      </c>
    </row>
    <row r="30" spans="1:2" ht="12.4" customHeight="1">
      <c r="A30" s="162" t="s">
        <v>54</v>
      </c>
      <c r="B30" s="166"/>
    </row>
    <row r="31" spans="1:2" ht="12.4" customHeight="1">
      <c r="A31" s="163" t="s">
        <v>276</v>
      </c>
      <c r="B31" s="166">
        <v>31.6</v>
      </c>
    </row>
    <row r="32" spans="1:2" ht="12.4" customHeight="1">
      <c r="A32" s="162" t="s">
        <v>651</v>
      </c>
      <c r="B32" s="166"/>
    </row>
    <row r="33" spans="1:2" ht="12.4" customHeight="1">
      <c r="A33" s="163" t="s">
        <v>277</v>
      </c>
      <c r="B33" s="166">
        <v>43.8</v>
      </c>
    </row>
    <row r="34" spans="1:2" ht="12.4" customHeight="1">
      <c r="A34" s="162" t="s">
        <v>652</v>
      </c>
      <c r="B34" s="166"/>
    </row>
    <row r="35" spans="1:2" ht="12.4" customHeight="1">
      <c r="A35" s="163" t="s">
        <v>278</v>
      </c>
      <c r="B35" s="166">
        <v>31.7</v>
      </c>
    </row>
    <row r="36" spans="1:2" ht="12.4" customHeight="1">
      <c r="A36" s="162" t="s">
        <v>58</v>
      </c>
      <c r="B36" s="166"/>
    </row>
    <row r="37" spans="1:2" ht="12.4" customHeight="1">
      <c r="A37" s="165" t="s">
        <v>653</v>
      </c>
      <c r="B37" s="95">
        <f>B39+85.201</f>
        <v>1337.101</v>
      </c>
    </row>
    <row r="38" spans="1:2" ht="12.4" customHeight="1">
      <c r="A38" s="156" t="s">
        <v>654</v>
      </c>
      <c r="B38" s="166"/>
    </row>
    <row r="39" spans="1:2" ht="12.4" customHeight="1">
      <c r="A39" s="157" t="s">
        <v>279</v>
      </c>
      <c r="B39" s="94">
        <v>1251.9</v>
      </c>
    </row>
    <row r="40" spans="1:2" ht="12.4" customHeight="1">
      <c r="A40" s="158" t="s">
        <v>643</v>
      </c>
      <c r="B40" s="166"/>
    </row>
    <row r="41" spans="1:2" ht="12.4" customHeight="1">
      <c r="A41" s="161" t="s">
        <v>655</v>
      </c>
      <c r="B41" s="166">
        <v>61.5</v>
      </c>
    </row>
    <row r="42" spans="1:2" ht="12.4" customHeight="1">
      <c r="A42" s="162" t="s">
        <v>650</v>
      </c>
      <c r="B42" s="166"/>
    </row>
    <row r="43" spans="1:2" ht="12.4" customHeight="1">
      <c r="A43" s="163" t="s">
        <v>272</v>
      </c>
      <c r="B43" s="166">
        <v>88.2</v>
      </c>
    </row>
    <row r="44" spans="1:2" ht="12.4" customHeight="1">
      <c r="A44" s="162" t="s">
        <v>656</v>
      </c>
      <c r="B44" s="166"/>
    </row>
    <row r="45" spans="1:2" ht="12.4" customHeight="1">
      <c r="A45" s="163" t="s">
        <v>277</v>
      </c>
      <c r="B45" s="166">
        <v>33.3</v>
      </c>
    </row>
    <row r="46" spans="1:2" ht="12.4" customHeight="1">
      <c r="A46" s="162" t="s">
        <v>652</v>
      </c>
      <c r="B46" s="166"/>
    </row>
    <row r="47" spans="1:2" ht="12.4" customHeight="1">
      <c r="A47" s="163" t="s">
        <v>280</v>
      </c>
      <c r="B47" s="166">
        <v>20.9</v>
      </c>
    </row>
    <row r="48" spans="1:2" ht="12.4" customHeight="1">
      <c r="A48" s="162" t="s">
        <v>657</v>
      </c>
      <c r="B48" s="166"/>
    </row>
    <row r="49" spans="1:2" ht="54" customHeight="1">
      <c r="A49" s="599" t="s">
        <v>59</v>
      </c>
      <c r="B49" s="599"/>
    </row>
    <row r="50" spans="1:2" ht="55.5" customHeight="1">
      <c r="A50" s="587" t="s">
        <v>52</v>
      </c>
      <c r="B50" s="587"/>
    </row>
  </sheetData>
  <mergeCells count="4">
    <mergeCell ref="A50:B50"/>
    <mergeCell ref="A49:B49"/>
    <mergeCell ref="A1:B1"/>
    <mergeCell ref="A2:B2"/>
  </mergeCells>
  <printOptions/>
  <pageMargins left="0.7874015748031497" right="0.7874015748031497" top="0.984251968503937" bottom="0.984251968503937" header="0.31496062992125984" footer="0.31496062992125984"/>
  <pageSetup fitToHeight="1" fitToWidth="1" horizontalDpi="600" verticalDpi="600" orientation="portrait" paperSize="9" scale="96" r:id="rId1"/>
  <headerFooter>
    <oddFooter>&amp;L&amp;"Arial,Normalny"&amp;10 46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Layout" zoomScale="90" zoomScalePageLayoutView="90" workbookViewId="0" topLeftCell="A19">
      <selection activeCell="E31" sqref="E31"/>
    </sheetView>
  </sheetViews>
  <sheetFormatPr defaultColWidth="9.140625" defaultRowHeight="15"/>
  <cols>
    <col min="1" max="1" width="27.8515625" style="46" customWidth="1"/>
    <col min="2" max="4" width="14.7109375" style="46" customWidth="1"/>
    <col min="5" max="5" width="14.7109375" style="48" customWidth="1"/>
    <col min="6" max="16384" width="9.140625" style="46" customWidth="1"/>
  </cols>
  <sheetData>
    <row r="1" spans="1:5" ht="27.95" customHeight="1">
      <c r="A1" s="584" t="s">
        <v>564</v>
      </c>
      <c r="B1" s="584"/>
      <c r="C1" s="584"/>
      <c r="D1" s="584"/>
      <c r="E1" s="584"/>
    </row>
    <row r="2" spans="1:5" ht="27.95" customHeight="1">
      <c r="A2" s="579" t="s">
        <v>565</v>
      </c>
      <c r="B2" s="579"/>
      <c r="C2" s="579"/>
      <c r="D2" s="579"/>
      <c r="E2" s="579"/>
    </row>
    <row r="3" spans="1:5" ht="9.95" customHeight="1">
      <c r="A3" s="97"/>
      <c r="B3" s="97"/>
      <c r="C3" s="97"/>
      <c r="D3" s="97"/>
      <c r="E3" s="97"/>
    </row>
    <row r="4" spans="1:5" ht="33.95" customHeight="1">
      <c r="A4" s="592" t="s">
        <v>602</v>
      </c>
      <c r="B4" s="589">
        <v>2000</v>
      </c>
      <c r="C4" s="590"/>
      <c r="D4" s="589">
        <v>2017</v>
      </c>
      <c r="E4" s="591"/>
    </row>
    <row r="5" spans="1:5" ht="69.75" customHeight="1">
      <c r="A5" s="593"/>
      <c r="B5" s="49" t="s">
        <v>660</v>
      </c>
      <c r="C5" s="50" t="s">
        <v>661</v>
      </c>
      <c r="D5" s="50" t="s">
        <v>660</v>
      </c>
      <c r="E5" s="51" t="s">
        <v>661</v>
      </c>
    </row>
    <row r="6" spans="1:5" ht="15">
      <c r="A6" s="52"/>
      <c r="B6" s="53"/>
      <c r="C6" s="56"/>
      <c r="D6" s="55"/>
      <c r="E6" s="56"/>
    </row>
    <row r="7" spans="1:5" ht="13.5">
      <c r="A7" s="169" t="s">
        <v>662</v>
      </c>
      <c r="B7" s="58">
        <v>9412432</v>
      </c>
      <c r="C7" s="65">
        <v>24.4</v>
      </c>
      <c r="D7" s="58">
        <f>7358225+1175305+401657</f>
        <v>8935187</v>
      </c>
      <c r="E7" s="170">
        <f>D7/38433558*100</f>
        <v>23.248399224448594</v>
      </c>
    </row>
    <row r="8" spans="1:5" ht="13.5">
      <c r="A8" s="61" t="s">
        <v>663</v>
      </c>
      <c r="B8" s="62"/>
      <c r="C8" s="56"/>
      <c r="D8" s="62"/>
      <c r="E8" s="56"/>
    </row>
    <row r="9" spans="1:5" ht="15">
      <c r="A9" s="61"/>
      <c r="B9" s="64"/>
      <c r="C9" s="65"/>
      <c r="D9" s="64"/>
      <c r="E9" s="65"/>
    </row>
    <row r="10" spans="1:5" ht="15" customHeight="1">
      <c r="A10" s="69" t="s">
        <v>4</v>
      </c>
      <c r="B10" s="171">
        <v>694938</v>
      </c>
      <c r="C10" s="172">
        <v>23.4</v>
      </c>
      <c r="D10" s="173">
        <v>649591</v>
      </c>
      <c r="E10" s="573">
        <v>22.380033811683326</v>
      </c>
    </row>
    <row r="11" spans="1:5" ht="15" customHeight="1">
      <c r="A11" s="69" t="s">
        <v>0</v>
      </c>
      <c r="B11" s="171">
        <v>476282</v>
      </c>
      <c r="C11" s="172">
        <v>22.7</v>
      </c>
      <c r="D11" s="173">
        <v>464072</v>
      </c>
      <c r="E11" s="573">
        <v>22.27961961531371</v>
      </c>
    </row>
    <row r="12" spans="1:5" ht="15" customHeight="1">
      <c r="A12" s="69" t="s">
        <v>5</v>
      </c>
      <c r="B12" s="171">
        <v>601868</v>
      </c>
      <c r="C12" s="174">
        <v>27</v>
      </c>
      <c r="D12" s="173">
        <v>508894</v>
      </c>
      <c r="E12" s="573">
        <v>23.933120038075227</v>
      </c>
    </row>
    <row r="13" spans="1:5" ht="15" customHeight="1">
      <c r="A13" s="69" t="s">
        <v>6</v>
      </c>
      <c r="B13" s="171">
        <v>239366</v>
      </c>
      <c r="C13" s="172">
        <v>23.4</v>
      </c>
      <c r="D13" s="173">
        <v>216860</v>
      </c>
      <c r="E13" s="573">
        <v>21.327023539778452</v>
      </c>
    </row>
    <row r="14" spans="1:5" ht="15" customHeight="1">
      <c r="A14" s="69" t="s">
        <v>7</v>
      </c>
      <c r="B14" s="171">
        <v>689494</v>
      </c>
      <c r="C14" s="172">
        <v>26.1</v>
      </c>
      <c r="D14" s="173">
        <v>612874</v>
      </c>
      <c r="E14" s="573">
        <v>24.749436158162432</v>
      </c>
    </row>
    <row r="15" spans="1:5" ht="15" customHeight="1">
      <c r="A15" s="69" t="s">
        <v>8</v>
      </c>
      <c r="B15" s="171">
        <v>816317</v>
      </c>
      <c r="C15" s="172">
        <v>25.2</v>
      </c>
      <c r="D15" s="173">
        <v>719851</v>
      </c>
      <c r="E15" s="573">
        <v>21.225902140131748</v>
      </c>
    </row>
    <row r="16" spans="1:5" ht="15" customHeight="1">
      <c r="A16" s="69" t="s">
        <v>9</v>
      </c>
      <c r="B16" s="171">
        <v>1181427</v>
      </c>
      <c r="C16" s="172">
        <v>23.3</v>
      </c>
      <c r="D16" s="173">
        <v>1133447</v>
      </c>
      <c r="E16" s="573">
        <v>21.1</v>
      </c>
    </row>
    <row r="17" spans="1:5" ht="15" customHeight="1">
      <c r="A17" s="69" t="s">
        <v>10</v>
      </c>
      <c r="B17" s="171">
        <v>217972</v>
      </c>
      <c r="C17" s="172">
        <v>20.1</v>
      </c>
      <c r="D17" s="173">
        <v>200069</v>
      </c>
      <c r="E17" s="573">
        <v>20.207581491795015</v>
      </c>
    </row>
    <row r="18" spans="1:5" ht="15" customHeight="1">
      <c r="A18" s="69" t="s">
        <v>11</v>
      </c>
      <c r="B18" s="171">
        <v>510864</v>
      </c>
      <c r="C18" s="174">
        <v>24</v>
      </c>
      <c r="D18" s="173">
        <v>451304</v>
      </c>
      <c r="E18" s="573">
        <v>21.19655935876397</v>
      </c>
    </row>
    <row r="19" spans="1:5" ht="15" customHeight="1">
      <c r="A19" s="69" t="s">
        <v>12</v>
      </c>
      <c r="B19" s="171">
        <v>291395</v>
      </c>
      <c r="C19" s="172">
        <v>23.9</v>
      </c>
      <c r="D19" s="173">
        <v>260271</v>
      </c>
      <c r="E19" s="573">
        <v>21.972178417421667</v>
      </c>
    </row>
    <row r="20" spans="1:5" ht="15" customHeight="1">
      <c r="A20" s="69" t="s">
        <v>13</v>
      </c>
      <c r="B20" s="171">
        <v>443421</v>
      </c>
      <c r="C20" s="172">
        <v>20.2</v>
      </c>
      <c r="D20" s="173">
        <v>453543</v>
      </c>
      <c r="E20" s="573">
        <v>19.513512094864108</v>
      </c>
    </row>
    <row r="21" spans="1:5" ht="15" customHeight="1">
      <c r="A21" s="69" t="s">
        <v>14</v>
      </c>
      <c r="B21" s="171">
        <v>1140231</v>
      </c>
      <c r="C21" s="172">
        <v>23.5</v>
      </c>
      <c r="D21" s="173">
        <v>1151366</v>
      </c>
      <c r="E21" s="573">
        <v>25.314873202028064</v>
      </c>
    </row>
    <row r="22" spans="1:5" ht="15" customHeight="1">
      <c r="A22" s="69" t="s">
        <v>15</v>
      </c>
      <c r="B22" s="171">
        <v>336268</v>
      </c>
      <c r="C22" s="172">
        <v>25.4</v>
      </c>
      <c r="D22" s="173">
        <v>302955</v>
      </c>
      <c r="E22" s="574">
        <v>24.280454456565995</v>
      </c>
    </row>
    <row r="23" spans="1:5" ht="15" customHeight="1">
      <c r="A23" s="69" t="s">
        <v>1</v>
      </c>
      <c r="B23" s="171">
        <v>306595</v>
      </c>
      <c r="C23" s="172">
        <v>20.9</v>
      </c>
      <c r="D23" s="173">
        <v>293288</v>
      </c>
      <c r="E23" s="573">
        <v>20.453225193434896</v>
      </c>
    </row>
    <row r="24" spans="1:5" ht="15" customHeight="1">
      <c r="A24" s="69" t="s">
        <v>2</v>
      </c>
      <c r="B24" s="171">
        <v>797799</v>
      </c>
      <c r="C24" s="172">
        <v>23.7</v>
      </c>
      <c r="D24" s="173">
        <v>754242</v>
      </c>
      <c r="E24" s="573">
        <v>21.616411737900556</v>
      </c>
    </row>
    <row r="25" spans="1:5" ht="15" customHeight="1">
      <c r="A25" s="69" t="s">
        <v>3</v>
      </c>
      <c r="B25" s="171">
        <v>357210</v>
      </c>
      <c r="C25" s="172">
        <v>20.6</v>
      </c>
      <c r="D25" s="173">
        <v>359628</v>
      </c>
      <c r="E25" s="573">
        <v>21.085959638423883</v>
      </c>
    </row>
    <row r="26" spans="1:5" ht="8.25" customHeight="1">
      <c r="A26" s="69"/>
      <c r="B26" s="48"/>
      <c r="C26" s="48"/>
      <c r="D26" s="56"/>
      <c r="E26" s="56"/>
    </row>
    <row r="27" spans="1:5" ht="27.95" customHeight="1">
      <c r="A27" s="609" t="s">
        <v>60</v>
      </c>
      <c r="B27" s="609"/>
      <c r="C27" s="609"/>
      <c r="D27" s="609"/>
      <c r="E27" s="609"/>
    </row>
    <row r="28" spans="1:5" ht="27.95" customHeight="1">
      <c r="A28" s="608" t="s">
        <v>61</v>
      </c>
      <c r="B28" s="608"/>
      <c r="C28" s="608"/>
      <c r="D28" s="608"/>
      <c r="E28" s="608"/>
    </row>
  </sheetData>
  <mergeCells count="7">
    <mergeCell ref="A1:E1"/>
    <mergeCell ref="A2:E2"/>
    <mergeCell ref="A28:E28"/>
    <mergeCell ref="A27:E27"/>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665</v>
      </c>
      <c r="B1" s="584"/>
      <c r="C1" s="584"/>
      <c r="D1" s="584"/>
      <c r="E1" s="584"/>
    </row>
    <row r="2" spans="1:5" ht="39.95" customHeight="1">
      <c r="A2" s="579" t="s">
        <v>666</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5493796</v>
      </c>
      <c r="D8" s="58">
        <v>2212183</v>
      </c>
      <c r="E8" s="142">
        <v>3281613</v>
      </c>
    </row>
    <row r="9" spans="1:5" ht="19.5" customHeight="1">
      <c r="A9" s="125" t="s">
        <v>282</v>
      </c>
      <c r="B9" s="56">
        <v>2016</v>
      </c>
      <c r="C9" s="179">
        <v>5162280</v>
      </c>
      <c r="D9" s="144">
        <v>2093377</v>
      </c>
      <c r="E9" s="145">
        <v>3068903</v>
      </c>
    </row>
    <row r="10" spans="1:5" ht="14.1" customHeight="1">
      <c r="A10" s="102"/>
      <c r="B10" s="102"/>
      <c r="C10" s="148"/>
      <c r="D10" s="148"/>
      <c r="E10" s="149"/>
    </row>
    <row r="11" spans="1:5" ht="15" customHeight="1">
      <c r="A11" s="611" t="s">
        <v>62</v>
      </c>
      <c r="B11" s="611"/>
      <c r="C11" s="146">
        <v>45489</v>
      </c>
      <c r="D11" s="146">
        <v>45015</v>
      </c>
      <c r="E11" s="147">
        <v>474</v>
      </c>
    </row>
    <row r="12" spans="1:5" ht="15" customHeight="1">
      <c r="A12" s="621" t="s">
        <v>63</v>
      </c>
      <c r="B12" s="622"/>
      <c r="C12" s="148"/>
      <c r="D12" s="148"/>
      <c r="E12" s="149"/>
    </row>
    <row r="13" spans="1:5" ht="15" customHeight="1">
      <c r="A13" s="611" t="s">
        <v>64</v>
      </c>
      <c r="B13" s="611"/>
      <c r="C13" s="146">
        <v>89625</v>
      </c>
      <c r="D13" s="146">
        <v>48591</v>
      </c>
      <c r="E13" s="147">
        <v>41034</v>
      </c>
    </row>
    <row r="14" spans="1:5" ht="15" customHeight="1">
      <c r="A14" s="611" t="s">
        <v>65</v>
      </c>
      <c r="B14" s="611"/>
      <c r="C14" s="146">
        <v>1176273</v>
      </c>
      <c r="D14" s="146">
        <v>198651</v>
      </c>
      <c r="E14" s="147">
        <v>977622</v>
      </c>
    </row>
    <row r="15" spans="1:5" ht="15" customHeight="1">
      <c r="A15" s="611" t="s">
        <v>66</v>
      </c>
      <c r="B15" s="611"/>
      <c r="C15" s="146">
        <v>1744507</v>
      </c>
      <c r="D15" s="146">
        <v>770873</v>
      </c>
      <c r="E15" s="147">
        <v>973634</v>
      </c>
    </row>
    <row r="16" spans="1:5" ht="15" customHeight="1">
      <c r="A16" s="611" t="s">
        <v>67</v>
      </c>
      <c r="B16" s="611"/>
      <c r="C16" s="146">
        <v>1002034</v>
      </c>
      <c r="D16" s="146">
        <v>473322</v>
      </c>
      <c r="E16" s="147">
        <v>528712</v>
      </c>
    </row>
    <row r="17" spans="1:5" ht="15" customHeight="1">
      <c r="A17" s="611" t="s">
        <v>68</v>
      </c>
      <c r="B17" s="611"/>
      <c r="C17" s="146">
        <v>660473</v>
      </c>
      <c r="D17" s="146">
        <v>316708</v>
      </c>
      <c r="E17" s="147">
        <v>343765</v>
      </c>
    </row>
    <row r="18" spans="1:5" ht="15" customHeight="1">
      <c r="A18" s="611" t="s">
        <v>69</v>
      </c>
      <c r="B18" s="611"/>
      <c r="C18" s="146">
        <v>775395</v>
      </c>
      <c r="D18" s="146">
        <v>359023</v>
      </c>
      <c r="E18" s="147">
        <v>416372</v>
      </c>
    </row>
    <row r="19" spans="1:5" ht="15" customHeight="1">
      <c r="A19" s="621" t="s">
        <v>70</v>
      </c>
      <c r="B19" s="622"/>
      <c r="C19" s="148"/>
      <c r="D19" s="148"/>
      <c r="E19" s="149"/>
    </row>
    <row r="20" spans="1:5" s="107" customFormat="1" ht="27" customHeight="1">
      <c r="A20" s="628" t="s">
        <v>673</v>
      </c>
      <c r="B20" s="628"/>
      <c r="C20" s="628"/>
      <c r="D20" s="628"/>
      <c r="E20" s="628"/>
    </row>
    <row r="21" spans="1:5" ht="21" customHeight="1">
      <c r="A21" s="124" t="s">
        <v>281</v>
      </c>
      <c r="B21" s="65">
        <v>2017</v>
      </c>
      <c r="C21" s="58">
        <v>814244</v>
      </c>
      <c r="D21" s="58">
        <v>543809</v>
      </c>
      <c r="E21" s="142">
        <v>270435</v>
      </c>
    </row>
    <row r="22" spans="1:5" ht="18.75" customHeight="1">
      <c r="A22" s="125" t="s">
        <v>282</v>
      </c>
      <c r="B22" s="56">
        <v>2016</v>
      </c>
      <c r="C22" s="144">
        <v>913200</v>
      </c>
      <c r="D22" s="144">
        <v>605667</v>
      </c>
      <c r="E22" s="145">
        <v>307533</v>
      </c>
    </row>
    <row r="23" spans="1:5" ht="15">
      <c r="A23" s="61"/>
      <c r="B23" s="56"/>
      <c r="C23" s="64"/>
      <c r="D23" s="64"/>
      <c r="E23" s="76"/>
    </row>
    <row r="24" spans="1:5" ht="15" customHeight="1">
      <c r="A24" s="611" t="s">
        <v>71</v>
      </c>
      <c r="B24" s="611"/>
      <c r="C24" s="146">
        <v>3027</v>
      </c>
      <c r="D24" s="146">
        <v>2184</v>
      </c>
      <c r="E24" s="149">
        <v>843</v>
      </c>
    </row>
    <row r="25" spans="1:5" ht="15" customHeight="1">
      <c r="A25" s="621" t="s">
        <v>63</v>
      </c>
      <c r="B25" s="622"/>
      <c r="C25" s="148"/>
      <c r="D25" s="148"/>
      <c r="E25" s="149"/>
    </row>
    <row r="26" spans="1:5" ht="15" customHeight="1">
      <c r="A26" s="611" t="s">
        <v>72</v>
      </c>
      <c r="B26" s="611"/>
      <c r="C26" s="146">
        <v>29392</v>
      </c>
      <c r="D26" s="146">
        <v>18463</v>
      </c>
      <c r="E26" s="147">
        <v>10929</v>
      </c>
    </row>
    <row r="27" spans="1:5" ht="15" customHeight="1">
      <c r="A27" s="611" t="s">
        <v>73</v>
      </c>
      <c r="B27" s="611"/>
      <c r="C27" s="146">
        <v>99099</v>
      </c>
      <c r="D27" s="146">
        <v>58231</v>
      </c>
      <c r="E27" s="147">
        <v>40868</v>
      </c>
    </row>
    <row r="28" spans="1:5" ht="15" customHeight="1">
      <c r="A28" s="611" t="s">
        <v>74</v>
      </c>
      <c r="B28" s="611"/>
      <c r="C28" s="146">
        <v>99569</v>
      </c>
      <c r="D28" s="146">
        <v>56638</v>
      </c>
      <c r="E28" s="147">
        <v>42931</v>
      </c>
    </row>
    <row r="29" spans="1:5" ht="15" customHeight="1">
      <c r="A29" s="611" t="s">
        <v>64</v>
      </c>
      <c r="B29" s="611"/>
      <c r="C29" s="146">
        <v>199308</v>
      </c>
      <c r="D29" s="146">
        <v>113917</v>
      </c>
      <c r="E29" s="147">
        <v>85391</v>
      </c>
    </row>
    <row r="30" spans="1:5" ht="15" customHeight="1">
      <c r="A30" s="611" t="s">
        <v>65</v>
      </c>
      <c r="B30" s="611"/>
      <c r="C30" s="147">
        <v>208883</v>
      </c>
      <c r="D30" s="147">
        <v>186717</v>
      </c>
      <c r="E30" s="147">
        <v>22166</v>
      </c>
    </row>
    <row r="31" spans="1:5" ht="15" customHeight="1">
      <c r="A31" s="611" t="s">
        <v>75</v>
      </c>
      <c r="B31" s="611"/>
      <c r="C31" s="147">
        <v>174966</v>
      </c>
      <c r="D31" s="147">
        <v>107659</v>
      </c>
      <c r="E31" s="147">
        <v>67307</v>
      </c>
    </row>
    <row r="32" spans="1:5" ht="15" customHeight="1">
      <c r="A32" s="621" t="s">
        <v>70</v>
      </c>
      <c r="B32" s="621"/>
      <c r="C32" s="149"/>
      <c r="D32" s="149"/>
      <c r="E32" s="149"/>
    </row>
    <row r="33" spans="1:5" ht="10.5" customHeight="1">
      <c r="A33" s="112"/>
      <c r="B33" s="112"/>
      <c r="C33" s="150"/>
      <c r="D33" s="150"/>
      <c r="E33" s="150"/>
    </row>
    <row r="34" spans="1:5" ht="15" customHeight="1">
      <c r="A34" s="599" t="s">
        <v>76</v>
      </c>
      <c r="B34" s="599"/>
      <c r="C34" s="599"/>
      <c r="D34" s="599"/>
      <c r="E34" s="599"/>
    </row>
    <row r="35" spans="1:5" ht="15" customHeight="1">
      <c r="A35" s="587" t="s">
        <v>664</v>
      </c>
      <c r="B35" s="587"/>
      <c r="C35" s="587"/>
      <c r="D35" s="587"/>
      <c r="E35" s="587"/>
    </row>
    <row r="36" spans="1:5" ht="31.5" customHeight="1">
      <c r="A36" s="18"/>
      <c r="B36" s="18"/>
      <c r="C36" s="18"/>
      <c r="D36" s="18"/>
      <c r="E36" s="18"/>
    </row>
  </sheetData>
  <mergeCells count="26">
    <mergeCell ref="C5:E5"/>
    <mergeCell ref="A4:B5"/>
    <mergeCell ref="A1:E1"/>
    <mergeCell ref="A2:E2"/>
    <mergeCell ref="A35:E35"/>
    <mergeCell ref="A7:E7"/>
    <mergeCell ref="A20:E20"/>
    <mergeCell ref="A24:B24"/>
    <mergeCell ref="A25:B25"/>
    <mergeCell ref="A26:B26"/>
    <mergeCell ref="A27:B27"/>
    <mergeCell ref="A28:B28"/>
    <mergeCell ref="A29:B29"/>
    <mergeCell ref="A11:B11"/>
    <mergeCell ref="A13:B13"/>
    <mergeCell ref="A14:B14"/>
    <mergeCell ref="A32:B32"/>
    <mergeCell ref="A34:E34"/>
    <mergeCell ref="A17:B17"/>
    <mergeCell ref="A18:B18"/>
    <mergeCell ref="A12:B12"/>
    <mergeCell ref="A30:B30"/>
    <mergeCell ref="A31:B31"/>
    <mergeCell ref="A15:B15"/>
    <mergeCell ref="A16:B16"/>
    <mergeCell ref="A19:B1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&amp;L48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39.95" customHeight="1">
      <c r="A1" s="584" t="s">
        <v>674</v>
      </c>
      <c r="B1" s="584"/>
      <c r="C1" s="584"/>
      <c r="D1" s="584"/>
      <c r="E1" s="584"/>
    </row>
    <row r="2" spans="1:5" ht="39.95" customHeight="1">
      <c r="A2" s="579" t="s">
        <v>675</v>
      </c>
      <c r="B2" s="579"/>
      <c r="C2" s="579"/>
      <c r="D2" s="579"/>
      <c r="E2" s="579"/>
    </row>
    <row r="3" spans="1:5" ht="9.95" customHeight="1">
      <c r="A3" s="181"/>
      <c r="B3" s="181"/>
      <c r="C3" s="181"/>
      <c r="D3" s="181"/>
      <c r="E3" s="181"/>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920710</v>
      </c>
      <c r="D8" s="58">
        <v>273371</v>
      </c>
      <c r="E8" s="142">
        <v>647339</v>
      </c>
    </row>
    <row r="9" spans="1:5" ht="19.5" customHeight="1">
      <c r="A9" s="125" t="s">
        <v>282</v>
      </c>
      <c r="B9" s="56">
        <v>2016</v>
      </c>
      <c r="C9" s="144">
        <v>927368</v>
      </c>
      <c r="D9" s="144">
        <v>266805</v>
      </c>
      <c r="E9" s="145">
        <v>660563</v>
      </c>
    </row>
    <row r="10" spans="1:5" ht="14.1" customHeight="1">
      <c r="A10" s="102"/>
      <c r="B10" s="102"/>
      <c r="C10" s="103"/>
      <c r="D10" s="103"/>
      <c r="E10" s="104"/>
    </row>
    <row r="11" spans="1:5" ht="15" customHeight="1">
      <c r="A11" s="611" t="s">
        <v>64</v>
      </c>
      <c r="B11" s="611"/>
      <c r="C11" s="146">
        <v>33302</v>
      </c>
      <c r="D11" s="180" t="s">
        <v>94</v>
      </c>
      <c r="E11" s="147">
        <v>33302</v>
      </c>
    </row>
    <row r="12" spans="1:5" ht="15" customHeight="1">
      <c r="A12" s="611" t="s">
        <v>65</v>
      </c>
      <c r="B12" s="611"/>
      <c r="C12" s="146">
        <v>127361</v>
      </c>
      <c r="D12" s="146">
        <v>36851</v>
      </c>
      <c r="E12" s="147">
        <v>90510</v>
      </c>
    </row>
    <row r="13" spans="1:5" ht="15" customHeight="1">
      <c r="A13" s="611" t="s">
        <v>66</v>
      </c>
      <c r="B13" s="611"/>
      <c r="C13" s="146">
        <v>175047</v>
      </c>
      <c r="D13" s="146">
        <v>69156</v>
      </c>
      <c r="E13" s="147">
        <v>105891</v>
      </c>
    </row>
    <row r="14" spans="1:5" ht="15" customHeight="1">
      <c r="A14" s="611" t="s">
        <v>67</v>
      </c>
      <c r="B14" s="611"/>
      <c r="C14" s="146">
        <v>140354</v>
      </c>
      <c r="D14" s="146">
        <v>48762</v>
      </c>
      <c r="E14" s="147">
        <v>91592</v>
      </c>
    </row>
    <row r="15" spans="1:5" ht="15" customHeight="1">
      <c r="A15" s="611" t="s">
        <v>68</v>
      </c>
      <c r="B15" s="611"/>
      <c r="C15" s="146">
        <v>135188</v>
      </c>
      <c r="D15" s="146">
        <v>42220</v>
      </c>
      <c r="E15" s="147">
        <v>92968</v>
      </c>
    </row>
    <row r="16" spans="1:5" ht="15" customHeight="1">
      <c r="A16" s="611" t="s">
        <v>69</v>
      </c>
      <c r="B16" s="611"/>
      <c r="C16" s="146">
        <v>309458</v>
      </c>
      <c r="D16" s="146">
        <v>76382</v>
      </c>
      <c r="E16" s="147">
        <v>233076</v>
      </c>
    </row>
    <row r="17" spans="1:5" ht="15" customHeight="1">
      <c r="A17" s="621" t="s">
        <v>70</v>
      </c>
      <c r="B17" s="622"/>
      <c r="C17" s="148"/>
      <c r="D17" s="148"/>
      <c r="E17" s="149"/>
    </row>
    <row r="18" spans="1:5" s="107" customFormat="1" ht="27" customHeight="1">
      <c r="A18" s="628" t="s">
        <v>673</v>
      </c>
      <c r="B18" s="628"/>
      <c r="C18" s="628"/>
      <c r="D18" s="628"/>
      <c r="E18" s="628"/>
    </row>
    <row r="19" spans="1:5" ht="21" customHeight="1">
      <c r="A19" s="124" t="s">
        <v>281</v>
      </c>
      <c r="B19" s="65">
        <v>2017</v>
      </c>
      <c r="C19" s="58">
        <v>205670</v>
      </c>
      <c r="D19" s="58">
        <v>108865</v>
      </c>
      <c r="E19" s="142">
        <v>96805</v>
      </c>
    </row>
    <row r="20" spans="1:5" ht="18.75" customHeight="1">
      <c r="A20" s="125" t="s">
        <v>282</v>
      </c>
      <c r="B20" s="56">
        <v>2016</v>
      </c>
      <c r="C20" s="144">
        <v>216464</v>
      </c>
      <c r="D20" s="144">
        <v>114399</v>
      </c>
      <c r="E20" s="145">
        <v>102065</v>
      </c>
    </row>
    <row r="21" spans="1:5" ht="15">
      <c r="A21" s="61"/>
      <c r="B21" s="56"/>
      <c r="C21" s="64"/>
      <c r="D21" s="64"/>
      <c r="E21" s="76"/>
    </row>
    <row r="22" spans="1:5" ht="15" customHeight="1">
      <c r="A22" s="611" t="s">
        <v>71</v>
      </c>
      <c r="B22" s="611"/>
      <c r="C22" s="148">
        <v>388</v>
      </c>
      <c r="D22" s="148">
        <v>280</v>
      </c>
      <c r="E22" s="149">
        <v>108</v>
      </c>
    </row>
    <row r="23" spans="1:5" ht="15" customHeight="1">
      <c r="A23" s="621" t="s">
        <v>63</v>
      </c>
      <c r="B23" s="622"/>
      <c r="C23" s="146"/>
      <c r="D23" s="146"/>
      <c r="E23" s="147"/>
    </row>
    <row r="24" spans="1:5" ht="15" customHeight="1">
      <c r="A24" s="611" t="s">
        <v>72</v>
      </c>
      <c r="B24" s="611"/>
      <c r="C24" s="146">
        <v>4438</v>
      </c>
      <c r="D24" s="146">
        <v>2448</v>
      </c>
      <c r="E24" s="147">
        <v>1990</v>
      </c>
    </row>
    <row r="25" spans="1:5" ht="15" customHeight="1">
      <c r="A25" s="611" t="s">
        <v>73</v>
      </c>
      <c r="B25" s="611"/>
      <c r="C25" s="146">
        <v>21533</v>
      </c>
      <c r="D25" s="146">
        <v>10602</v>
      </c>
      <c r="E25" s="147">
        <v>10931</v>
      </c>
    </row>
    <row r="26" spans="1:5" ht="15" customHeight="1">
      <c r="A26" s="611" t="s">
        <v>74</v>
      </c>
      <c r="B26" s="611"/>
      <c r="C26" s="146">
        <v>26660</v>
      </c>
      <c r="D26" s="146">
        <v>12954</v>
      </c>
      <c r="E26" s="147">
        <v>13706</v>
      </c>
    </row>
    <row r="27" spans="1:5" ht="15" customHeight="1">
      <c r="A27" s="611" t="s">
        <v>64</v>
      </c>
      <c r="B27" s="611"/>
      <c r="C27" s="146">
        <v>53296</v>
      </c>
      <c r="D27" s="146">
        <v>26661</v>
      </c>
      <c r="E27" s="147">
        <v>26635</v>
      </c>
    </row>
    <row r="28" spans="1:5" ht="15" customHeight="1">
      <c r="A28" s="611" t="s">
        <v>65</v>
      </c>
      <c r="B28" s="611"/>
      <c r="C28" s="147">
        <v>60465</v>
      </c>
      <c r="D28" s="147">
        <v>38219</v>
      </c>
      <c r="E28" s="147">
        <v>22246</v>
      </c>
    </row>
    <row r="29" spans="1:5" ht="15" customHeight="1">
      <c r="A29" s="611" t="s">
        <v>75</v>
      </c>
      <c r="B29" s="611"/>
      <c r="C29" s="147">
        <v>38890</v>
      </c>
      <c r="D29" s="147">
        <v>17701</v>
      </c>
      <c r="E29" s="147">
        <v>21189</v>
      </c>
    </row>
    <row r="30" spans="1:5" ht="15" customHeight="1">
      <c r="A30" s="621" t="s">
        <v>70</v>
      </c>
      <c r="B30" s="621"/>
      <c r="C30" s="149"/>
      <c r="D30" s="149"/>
      <c r="E30" s="149"/>
    </row>
    <row r="31" spans="1:5" ht="12" customHeight="1">
      <c r="A31" s="112"/>
      <c r="B31" s="112"/>
      <c r="C31" s="150"/>
      <c r="D31" s="150"/>
      <c r="E31" s="150"/>
    </row>
    <row r="32" spans="1:5" ht="15.95" customHeight="1">
      <c r="A32" s="599" t="s">
        <v>77</v>
      </c>
      <c r="B32" s="599"/>
      <c r="C32" s="599"/>
      <c r="D32" s="599"/>
      <c r="E32" s="599"/>
    </row>
    <row r="33" spans="1:5" ht="15.95" customHeight="1">
      <c r="A33" s="587" t="s">
        <v>78</v>
      </c>
      <c r="B33" s="587"/>
      <c r="C33" s="587"/>
      <c r="D33" s="587"/>
      <c r="E33" s="587"/>
    </row>
    <row r="34" spans="1:5" ht="31.5" customHeight="1">
      <c r="A34" s="18"/>
      <c r="B34" s="18"/>
      <c r="C34" s="18"/>
      <c r="D34" s="18"/>
      <c r="E34" s="18"/>
    </row>
  </sheetData>
  <mergeCells count="24">
    <mergeCell ref="C5:E5"/>
    <mergeCell ref="A4:B5"/>
    <mergeCell ref="A1:E1"/>
    <mergeCell ref="A2:E2"/>
    <mergeCell ref="A22:B22"/>
    <mergeCell ref="A7:E7"/>
    <mergeCell ref="A11:B11"/>
    <mergeCell ref="A12:B12"/>
    <mergeCell ref="A13:B13"/>
    <mergeCell ref="A14:B14"/>
    <mergeCell ref="A15:B15"/>
    <mergeCell ref="A16:B16"/>
    <mergeCell ref="A17:B17"/>
    <mergeCell ref="A18:E18"/>
    <mergeCell ref="A29:B29"/>
    <mergeCell ref="A30:B30"/>
    <mergeCell ref="A32:E32"/>
    <mergeCell ref="A33:E33"/>
    <mergeCell ref="A23:B23"/>
    <mergeCell ref="A24:B24"/>
    <mergeCell ref="A25:B25"/>
    <mergeCell ref="A26:B26"/>
    <mergeCell ref="A27:B27"/>
    <mergeCell ref="A28:B2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6">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676</v>
      </c>
      <c r="B1" s="584"/>
      <c r="C1" s="584"/>
      <c r="D1" s="584"/>
      <c r="E1" s="584"/>
    </row>
    <row r="2" spans="1:5" ht="39.95" customHeight="1">
      <c r="A2" s="579" t="s">
        <v>677</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110369</v>
      </c>
      <c r="D8" s="58">
        <v>110237</v>
      </c>
      <c r="E8" s="76">
        <v>132</v>
      </c>
    </row>
    <row r="9" spans="1:5" ht="19.5" customHeight="1">
      <c r="A9" s="125" t="s">
        <v>282</v>
      </c>
      <c r="B9" s="56">
        <v>2016</v>
      </c>
      <c r="C9" s="179">
        <v>110901</v>
      </c>
      <c r="D9" s="144">
        <v>110768</v>
      </c>
      <c r="E9" s="184">
        <v>133</v>
      </c>
    </row>
    <row r="10" spans="1:5" ht="14.1" customHeight="1">
      <c r="A10" s="102"/>
      <c r="B10" s="102"/>
      <c r="C10" s="103"/>
      <c r="D10" s="103"/>
      <c r="E10" s="104"/>
    </row>
    <row r="11" spans="1:5" ht="15" customHeight="1">
      <c r="A11" s="611" t="s">
        <v>79</v>
      </c>
      <c r="B11" s="611"/>
      <c r="C11" s="146">
        <v>1027</v>
      </c>
      <c r="D11" s="146">
        <v>1021</v>
      </c>
      <c r="E11" s="149">
        <v>6</v>
      </c>
    </row>
    <row r="12" spans="1:5" ht="15" customHeight="1">
      <c r="A12" s="621" t="s">
        <v>63</v>
      </c>
      <c r="B12" s="622"/>
      <c r="C12" s="146">
        <v>5783</v>
      </c>
      <c r="D12" s="146">
        <v>5777</v>
      </c>
      <c r="E12" s="149">
        <v>6</v>
      </c>
    </row>
    <row r="13" spans="1:5" ht="15" customHeight="1">
      <c r="A13" s="611" t="s">
        <v>80</v>
      </c>
      <c r="B13" s="611"/>
      <c r="C13" s="146">
        <v>9741</v>
      </c>
      <c r="D13" s="146">
        <v>9721</v>
      </c>
      <c r="E13" s="149">
        <v>20</v>
      </c>
    </row>
    <row r="14" spans="1:5" ht="15" customHeight="1">
      <c r="A14" s="611" t="s">
        <v>81</v>
      </c>
      <c r="B14" s="611"/>
      <c r="C14" s="146">
        <v>12789</v>
      </c>
      <c r="D14" s="146">
        <v>12739</v>
      </c>
      <c r="E14" s="149">
        <v>50</v>
      </c>
    </row>
    <row r="15" spans="1:5" ht="15" customHeight="1">
      <c r="A15" s="611" t="s">
        <v>74</v>
      </c>
      <c r="B15" s="611"/>
      <c r="C15" s="146">
        <v>14709</v>
      </c>
      <c r="D15" s="146">
        <v>14683</v>
      </c>
      <c r="E15" s="149">
        <v>26</v>
      </c>
    </row>
    <row r="16" spans="1:5" ht="15" customHeight="1">
      <c r="A16" s="611" t="s">
        <v>64</v>
      </c>
      <c r="B16" s="611"/>
      <c r="C16" s="146">
        <v>17855</v>
      </c>
      <c r="D16" s="146">
        <v>17845</v>
      </c>
      <c r="E16" s="149">
        <v>10</v>
      </c>
    </row>
    <row r="17" spans="1:5" ht="15" customHeight="1">
      <c r="A17" s="611" t="s">
        <v>65</v>
      </c>
      <c r="B17" s="611"/>
      <c r="C17" s="146">
        <v>19620</v>
      </c>
      <c r="D17" s="146">
        <v>19615</v>
      </c>
      <c r="E17" s="149">
        <v>5</v>
      </c>
    </row>
    <row r="18" spans="1:5" ht="15" customHeight="1">
      <c r="A18" s="611" t="s">
        <v>66</v>
      </c>
      <c r="B18" s="611"/>
      <c r="C18" s="146">
        <v>13020</v>
      </c>
      <c r="D18" s="146">
        <v>13018</v>
      </c>
      <c r="E18" s="149">
        <v>2</v>
      </c>
    </row>
    <row r="19" spans="1:5" ht="15" customHeight="1">
      <c r="A19" s="611" t="s">
        <v>82</v>
      </c>
      <c r="B19" s="611"/>
      <c r="C19" s="146">
        <v>6716</v>
      </c>
      <c r="D19" s="185">
        <v>6716</v>
      </c>
      <c r="E19" s="182" t="s">
        <v>94</v>
      </c>
    </row>
    <row r="20" spans="1:5" ht="15" customHeight="1">
      <c r="A20" s="611" t="s">
        <v>68</v>
      </c>
      <c r="B20" s="611"/>
      <c r="C20" s="146">
        <v>9109</v>
      </c>
      <c r="D20" s="146">
        <v>9102</v>
      </c>
      <c r="E20" s="149">
        <v>7</v>
      </c>
    </row>
    <row r="21" spans="1:5" ht="15" customHeight="1">
      <c r="A21" s="611" t="s">
        <v>69</v>
      </c>
      <c r="B21" s="611"/>
      <c r="C21" s="146"/>
      <c r="D21" s="146"/>
      <c r="E21" s="149"/>
    </row>
    <row r="22" spans="1:5" ht="15" customHeight="1">
      <c r="A22" s="621" t="s">
        <v>70</v>
      </c>
      <c r="B22" s="622"/>
      <c r="C22" s="148"/>
      <c r="D22" s="148"/>
      <c r="E22" s="149"/>
    </row>
    <row r="23" spans="1:5" s="107" customFormat="1" ht="27" customHeight="1">
      <c r="A23" s="628" t="s">
        <v>673</v>
      </c>
      <c r="B23" s="628"/>
      <c r="C23" s="628"/>
      <c r="D23" s="628"/>
      <c r="E23" s="628"/>
    </row>
    <row r="24" spans="1:5" ht="21" customHeight="1">
      <c r="A24" s="124" t="s">
        <v>281</v>
      </c>
      <c r="B24" s="65">
        <v>2017</v>
      </c>
      <c r="C24" s="58">
        <v>13253</v>
      </c>
      <c r="D24" s="58">
        <v>13226</v>
      </c>
      <c r="E24" s="76">
        <v>27</v>
      </c>
    </row>
    <row r="25" spans="1:5" ht="18.75" customHeight="1">
      <c r="A25" s="125" t="s">
        <v>282</v>
      </c>
      <c r="B25" s="56">
        <v>2016</v>
      </c>
      <c r="C25" s="144">
        <v>13755</v>
      </c>
      <c r="D25" s="144">
        <v>13732</v>
      </c>
      <c r="E25" s="184">
        <v>23</v>
      </c>
    </row>
    <row r="26" spans="1:5" ht="15">
      <c r="A26" s="61"/>
      <c r="B26" s="56"/>
      <c r="C26" s="64"/>
      <c r="D26" s="64"/>
      <c r="E26" s="76"/>
    </row>
    <row r="27" spans="1:5" ht="15" customHeight="1">
      <c r="A27" s="611" t="s">
        <v>71</v>
      </c>
      <c r="B27" s="611"/>
      <c r="C27" s="148">
        <v>40</v>
      </c>
      <c r="D27" s="148">
        <v>39</v>
      </c>
      <c r="E27" s="149">
        <v>1</v>
      </c>
    </row>
    <row r="28" spans="1:5" ht="15" customHeight="1">
      <c r="A28" s="621" t="s">
        <v>63</v>
      </c>
      <c r="B28" s="622"/>
      <c r="C28" s="148"/>
      <c r="D28" s="148"/>
      <c r="E28" s="149"/>
    </row>
    <row r="29" spans="1:5" ht="15" customHeight="1">
      <c r="A29" s="611" t="s">
        <v>72</v>
      </c>
      <c r="B29" s="611"/>
      <c r="C29" s="148">
        <v>404</v>
      </c>
      <c r="D29" s="148">
        <v>393</v>
      </c>
      <c r="E29" s="149">
        <v>11</v>
      </c>
    </row>
    <row r="30" spans="1:5" ht="15" customHeight="1">
      <c r="A30" s="611" t="s">
        <v>73</v>
      </c>
      <c r="B30" s="611"/>
      <c r="C30" s="148">
        <v>874</v>
      </c>
      <c r="D30" s="148">
        <v>867</v>
      </c>
      <c r="E30" s="149">
        <v>7</v>
      </c>
    </row>
    <row r="31" spans="1:5" ht="15" customHeight="1">
      <c r="A31" s="611" t="s">
        <v>74</v>
      </c>
      <c r="B31" s="611"/>
      <c r="C31" s="146">
        <v>681</v>
      </c>
      <c r="D31" s="148">
        <v>677</v>
      </c>
      <c r="E31" s="149">
        <v>4</v>
      </c>
    </row>
    <row r="32" spans="1:5" ht="15" customHeight="1">
      <c r="A32" s="611" t="s">
        <v>64</v>
      </c>
      <c r="B32" s="611"/>
      <c r="C32" s="146">
        <v>1073</v>
      </c>
      <c r="D32" s="146">
        <v>1070</v>
      </c>
      <c r="E32" s="149">
        <v>3</v>
      </c>
    </row>
    <row r="33" spans="1:6" ht="15" customHeight="1">
      <c r="A33" s="611" t="s">
        <v>65</v>
      </c>
      <c r="B33" s="611"/>
      <c r="C33" s="147">
        <v>1662</v>
      </c>
      <c r="D33" s="147">
        <v>1661</v>
      </c>
      <c r="E33" s="183">
        <v>1</v>
      </c>
      <c r="F33" s="107"/>
    </row>
    <row r="34" spans="1:6" ht="15" customHeight="1">
      <c r="A34" s="611" t="s">
        <v>75</v>
      </c>
      <c r="B34" s="611"/>
      <c r="C34" s="147">
        <v>8519</v>
      </c>
      <c r="D34" s="147">
        <v>8519</v>
      </c>
      <c r="E34" s="182" t="s">
        <v>94</v>
      </c>
      <c r="F34" s="107"/>
    </row>
    <row r="35" spans="1:5" ht="15" customHeight="1">
      <c r="A35" s="621" t="s">
        <v>70</v>
      </c>
      <c r="B35" s="621"/>
      <c r="C35" s="149"/>
      <c r="D35" s="149"/>
      <c r="E35" s="149"/>
    </row>
    <row r="36" spans="1:5" ht="14.1" customHeight="1">
      <c r="A36" s="112"/>
      <c r="B36" s="112"/>
      <c r="C36" s="150"/>
      <c r="D36" s="150"/>
      <c r="E36" s="150"/>
    </row>
    <row r="37" spans="1:5" ht="27.95" customHeight="1">
      <c r="A37" s="609" t="s">
        <v>83</v>
      </c>
      <c r="B37" s="609"/>
      <c r="C37" s="609"/>
      <c r="D37" s="609"/>
      <c r="E37" s="609"/>
    </row>
    <row r="38" spans="1:5" ht="27.95" customHeight="1">
      <c r="A38" s="608" t="s">
        <v>84</v>
      </c>
      <c r="B38" s="608"/>
      <c r="C38" s="608"/>
      <c r="D38" s="608"/>
      <c r="E38" s="608"/>
    </row>
    <row r="39" spans="1:5" ht="31.5" customHeight="1">
      <c r="A39" s="18"/>
      <c r="B39" s="18"/>
      <c r="C39" s="18"/>
      <c r="D39" s="18"/>
      <c r="E39" s="18"/>
    </row>
  </sheetData>
  <mergeCells count="29">
    <mergeCell ref="A15:B15"/>
    <mergeCell ref="A1:E1"/>
    <mergeCell ref="A2:E2"/>
    <mergeCell ref="A7:E7"/>
    <mergeCell ref="A11:B11"/>
    <mergeCell ref="A12:B12"/>
    <mergeCell ref="A13:B13"/>
    <mergeCell ref="A14:B14"/>
    <mergeCell ref="C5:E5"/>
    <mergeCell ref="A4:B5"/>
    <mergeCell ref="A16:B16"/>
    <mergeCell ref="A17:B17"/>
    <mergeCell ref="A21:B21"/>
    <mergeCell ref="A22:B22"/>
    <mergeCell ref="A23:E23"/>
    <mergeCell ref="A34:B34"/>
    <mergeCell ref="A35:B35"/>
    <mergeCell ref="A37:E37"/>
    <mergeCell ref="A38:E38"/>
    <mergeCell ref="A18:B18"/>
    <mergeCell ref="A19:B19"/>
    <mergeCell ref="A20:B20"/>
    <mergeCell ref="A28:B28"/>
    <mergeCell ref="A29:B29"/>
    <mergeCell ref="A30:B30"/>
    <mergeCell ref="A31:B31"/>
    <mergeCell ref="A32:B32"/>
    <mergeCell ref="A33:B33"/>
    <mergeCell ref="A27:B2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Layout" workbookViewId="0" topLeftCell="A19">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27.95" customHeight="1">
      <c r="A1" s="584" t="s">
        <v>299</v>
      </c>
      <c r="B1" s="584"/>
      <c r="C1" s="584"/>
      <c r="D1" s="584"/>
      <c r="E1" s="584"/>
    </row>
    <row r="2" spans="1:5" ht="39.95" customHeight="1">
      <c r="A2" s="579" t="s">
        <v>678</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24352</v>
      </c>
      <c r="D8" s="58">
        <v>20766</v>
      </c>
      <c r="E8" s="142">
        <v>3586</v>
      </c>
    </row>
    <row r="9" spans="1:5" ht="19.5" customHeight="1">
      <c r="A9" s="125" t="s">
        <v>282</v>
      </c>
      <c r="B9" s="56">
        <v>2016</v>
      </c>
      <c r="C9" s="179">
        <v>23945</v>
      </c>
      <c r="D9" s="144">
        <v>20445</v>
      </c>
      <c r="E9" s="145">
        <v>3500</v>
      </c>
    </row>
    <row r="10" spans="1:5" ht="14.1" customHeight="1">
      <c r="A10" s="102"/>
      <c r="B10" s="102"/>
      <c r="C10" s="103"/>
      <c r="D10" s="103"/>
      <c r="E10" s="104"/>
    </row>
    <row r="11" spans="1:5" ht="15" customHeight="1">
      <c r="A11" s="611" t="s">
        <v>79</v>
      </c>
      <c r="B11" s="611"/>
      <c r="C11" s="148">
        <v>95</v>
      </c>
      <c r="D11" s="148">
        <v>90</v>
      </c>
      <c r="E11" s="149">
        <v>5</v>
      </c>
    </row>
    <row r="12" spans="1:5" ht="15" customHeight="1">
      <c r="A12" s="621" t="s">
        <v>63</v>
      </c>
      <c r="B12" s="622"/>
      <c r="C12" s="148"/>
      <c r="D12" s="148"/>
      <c r="E12" s="149"/>
    </row>
    <row r="13" spans="1:5" ht="15" customHeight="1">
      <c r="A13" s="611" t="s">
        <v>80</v>
      </c>
      <c r="B13" s="611"/>
      <c r="C13" s="146">
        <v>790</v>
      </c>
      <c r="D13" s="148">
        <v>737</v>
      </c>
      <c r="E13" s="149">
        <v>53</v>
      </c>
    </row>
    <row r="14" spans="1:5" ht="15" customHeight="1">
      <c r="A14" s="611" t="s">
        <v>81</v>
      </c>
      <c r="B14" s="611"/>
      <c r="C14" s="146">
        <v>2511</v>
      </c>
      <c r="D14" s="146">
        <v>2328</v>
      </c>
      <c r="E14" s="149">
        <v>183</v>
      </c>
    </row>
    <row r="15" spans="1:5" ht="15" customHeight="1">
      <c r="A15" s="611" t="s">
        <v>74</v>
      </c>
      <c r="B15" s="611"/>
      <c r="C15" s="146">
        <v>4039</v>
      </c>
      <c r="D15" s="146">
        <v>3702</v>
      </c>
      <c r="E15" s="149">
        <v>337</v>
      </c>
    </row>
    <row r="16" spans="1:5" ht="15" customHeight="1">
      <c r="A16" s="611" t="s">
        <v>64</v>
      </c>
      <c r="B16" s="611"/>
      <c r="C16" s="146">
        <v>4365</v>
      </c>
      <c r="D16" s="146">
        <v>3762</v>
      </c>
      <c r="E16" s="149">
        <v>603</v>
      </c>
    </row>
    <row r="17" spans="1:5" ht="15" customHeight="1">
      <c r="A17" s="611" t="s">
        <v>65</v>
      </c>
      <c r="B17" s="611"/>
      <c r="C17" s="146">
        <v>3781</v>
      </c>
      <c r="D17" s="146">
        <v>3093</v>
      </c>
      <c r="E17" s="149">
        <v>688</v>
      </c>
    </row>
    <row r="18" spans="1:5" ht="15" customHeight="1">
      <c r="A18" s="611" t="s">
        <v>66</v>
      </c>
      <c r="B18" s="611"/>
      <c r="C18" s="146">
        <v>3504</v>
      </c>
      <c r="D18" s="146">
        <v>2828</v>
      </c>
      <c r="E18" s="149">
        <v>676</v>
      </c>
    </row>
    <row r="19" spans="1:5" ht="15" customHeight="1">
      <c r="A19" s="611" t="s">
        <v>82</v>
      </c>
      <c r="B19" s="611"/>
      <c r="C19" s="146">
        <v>2294</v>
      </c>
      <c r="D19" s="146">
        <v>1931</v>
      </c>
      <c r="E19" s="149">
        <v>363</v>
      </c>
    </row>
    <row r="20" spans="1:5" ht="15" customHeight="1">
      <c r="A20" s="611" t="s">
        <v>85</v>
      </c>
      <c r="B20" s="611"/>
      <c r="C20" s="146">
        <v>2973</v>
      </c>
      <c r="D20" s="146">
        <v>2295</v>
      </c>
      <c r="E20" s="149">
        <v>678</v>
      </c>
    </row>
    <row r="21" spans="1:5" ht="15" customHeight="1">
      <c r="A21" s="621" t="s">
        <v>70</v>
      </c>
      <c r="B21" s="622"/>
      <c r="C21" s="148"/>
      <c r="D21" s="148"/>
      <c r="E21" s="149"/>
    </row>
    <row r="22" spans="1:5" s="107" customFormat="1" ht="27" customHeight="1">
      <c r="A22" s="628" t="s">
        <v>673</v>
      </c>
      <c r="B22" s="628"/>
      <c r="C22" s="628"/>
      <c r="D22" s="628"/>
      <c r="E22" s="628"/>
    </row>
    <row r="23" spans="1:5" ht="21" customHeight="1">
      <c r="A23" s="124" t="s">
        <v>281</v>
      </c>
      <c r="B23" s="65">
        <v>2017</v>
      </c>
      <c r="C23" s="58">
        <v>2181</v>
      </c>
      <c r="D23" s="58">
        <v>1784</v>
      </c>
      <c r="E23" s="76">
        <v>397</v>
      </c>
    </row>
    <row r="24" spans="1:5" ht="18.75" customHeight="1">
      <c r="A24" s="125" t="s">
        <v>282</v>
      </c>
      <c r="B24" s="56">
        <v>2016</v>
      </c>
      <c r="C24" s="144">
        <v>2225</v>
      </c>
      <c r="D24" s="144">
        <v>1814</v>
      </c>
      <c r="E24" s="184">
        <v>411</v>
      </c>
    </row>
    <row r="25" spans="1:5" ht="15">
      <c r="A25" s="61"/>
      <c r="B25" s="56"/>
      <c r="C25" s="62"/>
      <c r="D25" s="62"/>
      <c r="E25" s="184"/>
    </row>
    <row r="26" spans="1:6" ht="15" customHeight="1">
      <c r="A26" s="611" t="s">
        <v>71</v>
      </c>
      <c r="B26" s="611"/>
      <c r="C26" s="148">
        <v>5</v>
      </c>
      <c r="D26" s="186">
        <v>5</v>
      </c>
      <c r="E26" s="182" t="s">
        <v>94</v>
      </c>
      <c r="F26" s="107"/>
    </row>
    <row r="27" spans="1:5" ht="15" customHeight="1">
      <c r="A27" s="621" t="s">
        <v>63</v>
      </c>
      <c r="B27" s="622"/>
      <c r="C27" s="148"/>
      <c r="D27" s="148"/>
      <c r="E27" s="149"/>
    </row>
    <row r="28" spans="1:5" ht="15" customHeight="1">
      <c r="A28" s="611" t="s">
        <v>72</v>
      </c>
      <c r="B28" s="611"/>
      <c r="C28" s="148">
        <v>83</v>
      </c>
      <c r="D28" s="148">
        <v>67</v>
      </c>
      <c r="E28" s="149">
        <v>16</v>
      </c>
    </row>
    <row r="29" spans="1:5" ht="15" customHeight="1">
      <c r="A29" s="611" t="s">
        <v>73</v>
      </c>
      <c r="B29" s="611"/>
      <c r="C29" s="148">
        <v>328</v>
      </c>
      <c r="D29" s="148">
        <v>289</v>
      </c>
      <c r="E29" s="149">
        <v>39</v>
      </c>
    </row>
    <row r="30" spans="1:5" ht="15" customHeight="1">
      <c r="A30" s="611" t="s">
        <v>74</v>
      </c>
      <c r="B30" s="611"/>
      <c r="C30" s="148">
        <v>282</v>
      </c>
      <c r="D30" s="148">
        <v>256</v>
      </c>
      <c r="E30" s="149">
        <v>26</v>
      </c>
    </row>
    <row r="31" spans="1:5" ht="15" customHeight="1">
      <c r="A31" s="611" t="s">
        <v>64</v>
      </c>
      <c r="B31" s="611"/>
      <c r="C31" s="148">
        <v>329</v>
      </c>
      <c r="D31" s="148">
        <v>283</v>
      </c>
      <c r="E31" s="149">
        <v>46</v>
      </c>
    </row>
    <row r="32" spans="1:5" ht="15" customHeight="1">
      <c r="A32" s="611" t="s">
        <v>65</v>
      </c>
      <c r="B32" s="611"/>
      <c r="C32" s="148">
        <v>305</v>
      </c>
      <c r="D32" s="149">
        <v>240</v>
      </c>
      <c r="E32" s="149">
        <v>65</v>
      </c>
    </row>
    <row r="33" spans="1:5" ht="15" customHeight="1">
      <c r="A33" s="611" t="s">
        <v>75</v>
      </c>
      <c r="B33" s="611"/>
      <c r="C33" s="149">
        <v>849</v>
      </c>
      <c r="D33" s="149">
        <v>644</v>
      </c>
      <c r="E33" s="149">
        <v>205</v>
      </c>
    </row>
    <row r="34" spans="1:5" ht="15" customHeight="1">
      <c r="A34" s="621" t="s">
        <v>70</v>
      </c>
      <c r="B34" s="621"/>
      <c r="C34" s="149"/>
      <c r="D34" s="149"/>
      <c r="E34" s="149"/>
    </row>
    <row r="35" spans="1:5" ht="9.75" customHeight="1">
      <c r="A35" s="112"/>
      <c r="B35" s="112"/>
      <c r="C35" s="150"/>
      <c r="D35" s="150"/>
      <c r="E35" s="150"/>
    </row>
    <row r="36" spans="1:5" ht="29.25" customHeight="1">
      <c r="A36" s="609" t="s">
        <v>83</v>
      </c>
      <c r="B36" s="609"/>
      <c r="C36" s="609"/>
      <c r="D36" s="609"/>
      <c r="E36" s="609"/>
    </row>
    <row r="37" spans="1:5" ht="26.25" customHeight="1">
      <c r="A37" s="608" t="s">
        <v>84</v>
      </c>
      <c r="B37" s="608"/>
      <c r="C37" s="608"/>
      <c r="D37" s="608"/>
      <c r="E37" s="608"/>
    </row>
    <row r="38" spans="1:5" ht="31.5" customHeight="1">
      <c r="A38" s="18"/>
      <c r="B38" s="18"/>
      <c r="C38" s="18"/>
      <c r="D38" s="18"/>
      <c r="E38" s="18"/>
    </row>
  </sheetData>
  <mergeCells count="28">
    <mergeCell ref="A15:B15"/>
    <mergeCell ref="A1:E1"/>
    <mergeCell ref="A2:E2"/>
    <mergeCell ref="A7:E7"/>
    <mergeCell ref="A11:B11"/>
    <mergeCell ref="A12:B12"/>
    <mergeCell ref="A13:B13"/>
    <mergeCell ref="A14:B14"/>
    <mergeCell ref="C5:E5"/>
    <mergeCell ref="A4:B5"/>
    <mergeCell ref="A29:B29"/>
    <mergeCell ref="A16:B16"/>
    <mergeCell ref="A17:B17"/>
    <mergeCell ref="A18:B18"/>
    <mergeCell ref="A19:B19"/>
    <mergeCell ref="A20:B20"/>
    <mergeCell ref="A21:B21"/>
    <mergeCell ref="A22:E22"/>
    <mergeCell ref="A26:B26"/>
    <mergeCell ref="A27:B27"/>
    <mergeCell ref="A28:B28"/>
    <mergeCell ref="A37:E37"/>
    <mergeCell ref="A30:B30"/>
    <mergeCell ref="A31:B31"/>
    <mergeCell ref="A32:B32"/>
    <mergeCell ref="A33:B33"/>
    <mergeCell ref="A34:B34"/>
    <mergeCell ref="A36:E3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51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9">
      <selection activeCell="E31" sqref="E31"/>
    </sheetView>
  </sheetViews>
  <sheetFormatPr defaultColWidth="9.140625" defaultRowHeight="15"/>
  <cols>
    <col min="1" max="1" width="27.7109375" style="96" customWidth="1"/>
    <col min="2" max="2" width="6.140625" style="96" customWidth="1"/>
    <col min="3" max="4" width="17.7109375" style="96" customWidth="1"/>
    <col min="5" max="5" width="17.7109375" style="107" customWidth="1"/>
    <col min="6" max="10" width="6.28125" style="96" customWidth="1"/>
    <col min="11" max="16384" width="9.140625" style="96" customWidth="1"/>
  </cols>
  <sheetData>
    <row r="1" spans="1:5" ht="39.95" customHeight="1">
      <c r="A1" s="584" t="s">
        <v>300</v>
      </c>
      <c r="B1" s="584"/>
      <c r="C1" s="584"/>
      <c r="D1" s="584"/>
      <c r="E1" s="584"/>
    </row>
    <row r="2" spans="1:5" ht="39.95" customHeight="1">
      <c r="A2" s="579" t="s">
        <v>679</v>
      </c>
      <c r="B2" s="579"/>
      <c r="C2" s="579"/>
      <c r="D2" s="579"/>
      <c r="E2" s="579"/>
    </row>
    <row r="3" spans="1:5" ht="9.95" customHeight="1">
      <c r="A3" s="97"/>
      <c r="B3" s="97"/>
      <c r="C3" s="97"/>
      <c r="D3" s="97"/>
      <c r="E3" s="97"/>
    </row>
    <row r="4" spans="1:5" ht="46.5" customHeight="1">
      <c r="A4" s="624" t="s">
        <v>667</v>
      </c>
      <c r="B4" s="625"/>
      <c r="C4" s="98" t="s">
        <v>668</v>
      </c>
      <c r="D4" s="98" t="s">
        <v>669</v>
      </c>
      <c r="E4" s="99" t="s">
        <v>670</v>
      </c>
    </row>
    <row r="5" spans="1:5" ht="33.75" customHeight="1">
      <c r="A5" s="626"/>
      <c r="B5" s="627"/>
      <c r="C5" s="623" t="s">
        <v>671</v>
      </c>
      <c r="D5" s="613"/>
      <c r="E5" s="613"/>
    </row>
    <row r="6" spans="1:5" s="107" customFormat="1" ht="5.1" customHeight="1">
      <c r="A6" s="175"/>
      <c r="B6" s="175"/>
      <c r="C6" s="176"/>
      <c r="D6" s="176"/>
      <c r="E6" s="176"/>
    </row>
    <row r="7" spans="1:7" ht="26.25" customHeight="1">
      <c r="A7" s="628" t="s">
        <v>672</v>
      </c>
      <c r="B7" s="628"/>
      <c r="C7" s="628"/>
      <c r="D7" s="628"/>
      <c r="E7" s="628"/>
      <c r="F7" s="177"/>
      <c r="G7" s="177"/>
    </row>
    <row r="8" spans="1:5" ht="21" customHeight="1">
      <c r="A8" s="124" t="s">
        <v>281</v>
      </c>
      <c r="B8" s="65">
        <v>2017</v>
      </c>
      <c r="C8" s="178">
        <v>155738</v>
      </c>
      <c r="D8" s="58">
        <v>139583</v>
      </c>
      <c r="E8" s="142">
        <v>16155</v>
      </c>
    </row>
    <row r="9" spans="1:5" ht="19.5" customHeight="1">
      <c r="A9" s="125" t="s">
        <v>282</v>
      </c>
      <c r="B9" s="56">
        <v>2016</v>
      </c>
      <c r="C9" s="179">
        <v>149774</v>
      </c>
      <c r="D9" s="144">
        <v>135065</v>
      </c>
      <c r="E9" s="145">
        <v>14709</v>
      </c>
    </row>
    <row r="10" spans="1:5" ht="14.1" customHeight="1">
      <c r="A10" s="102"/>
      <c r="B10" s="102"/>
      <c r="C10" s="103"/>
      <c r="D10" s="103"/>
      <c r="E10" s="104"/>
    </row>
    <row r="11" spans="1:5" ht="15" customHeight="1">
      <c r="A11" s="611" t="s">
        <v>79</v>
      </c>
      <c r="B11" s="611"/>
      <c r="C11" s="148">
        <v>672</v>
      </c>
      <c r="D11" s="148">
        <v>629</v>
      </c>
      <c r="E11" s="149">
        <v>43</v>
      </c>
    </row>
    <row r="12" spans="1:5" ht="15" customHeight="1">
      <c r="A12" s="621" t="s">
        <v>63</v>
      </c>
      <c r="B12" s="622"/>
      <c r="C12" s="148"/>
      <c r="D12" s="148"/>
      <c r="E12" s="149"/>
    </row>
    <row r="13" spans="1:5" ht="15" customHeight="1">
      <c r="A13" s="611" t="s">
        <v>80</v>
      </c>
      <c r="B13" s="611"/>
      <c r="C13" s="146">
        <v>5416</v>
      </c>
      <c r="D13" s="146">
        <v>5175</v>
      </c>
      <c r="E13" s="149">
        <v>242</v>
      </c>
    </row>
    <row r="14" spans="1:5" ht="15" customHeight="1">
      <c r="A14" s="611" t="s">
        <v>81</v>
      </c>
      <c r="B14" s="611"/>
      <c r="C14" s="146">
        <v>16656</v>
      </c>
      <c r="D14" s="146">
        <v>16079</v>
      </c>
      <c r="E14" s="149">
        <v>577</v>
      </c>
    </row>
    <row r="15" spans="1:5" ht="15" customHeight="1">
      <c r="A15" s="611" t="s">
        <v>74</v>
      </c>
      <c r="B15" s="611"/>
      <c r="C15" s="146">
        <v>24125</v>
      </c>
      <c r="D15" s="146">
        <v>23086</v>
      </c>
      <c r="E15" s="147">
        <v>1039</v>
      </c>
    </row>
    <row r="16" spans="1:5" ht="15" customHeight="1">
      <c r="A16" s="611" t="s">
        <v>64</v>
      </c>
      <c r="B16" s="611"/>
      <c r="C16" s="146">
        <v>26578</v>
      </c>
      <c r="D16" s="146">
        <v>24414</v>
      </c>
      <c r="E16" s="147">
        <v>2164</v>
      </c>
    </row>
    <row r="17" spans="1:5" ht="15" customHeight="1">
      <c r="A17" s="611" t="s">
        <v>65</v>
      </c>
      <c r="B17" s="611"/>
      <c r="C17" s="146">
        <v>24919</v>
      </c>
      <c r="D17" s="146">
        <v>21321</v>
      </c>
      <c r="E17" s="147">
        <v>3598</v>
      </c>
    </row>
    <row r="18" spans="1:5" ht="15" customHeight="1">
      <c r="A18" s="611" t="s">
        <v>66</v>
      </c>
      <c r="B18" s="611"/>
      <c r="C18" s="146">
        <v>23229</v>
      </c>
      <c r="D18" s="146">
        <v>20012</v>
      </c>
      <c r="E18" s="147">
        <v>3217</v>
      </c>
    </row>
    <row r="19" spans="1:5" ht="15" customHeight="1">
      <c r="A19" s="611" t="s">
        <v>82</v>
      </c>
      <c r="B19" s="611"/>
      <c r="C19" s="146">
        <v>14660</v>
      </c>
      <c r="D19" s="146">
        <v>12940</v>
      </c>
      <c r="E19" s="147">
        <v>1720</v>
      </c>
    </row>
    <row r="20" spans="1:5" ht="15" customHeight="1">
      <c r="A20" s="611" t="s">
        <v>68</v>
      </c>
      <c r="B20" s="611"/>
      <c r="C20" s="146">
        <v>8418</v>
      </c>
      <c r="D20" s="146">
        <v>7136</v>
      </c>
      <c r="E20" s="147">
        <v>1282</v>
      </c>
    </row>
    <row r="21" spans="1:5" ht="15" customHeight="1">
      <c r="A21" s="611" t="s">
        <v>69</v>
      </c>
      <c r="B21" s="611"/>
      <c r="C21" s="146">
        <v>11065</v>
      </c>
      <c r="D21" s="146">
        <v>8792</v>
      </c>
      <c r="E21" s="147">
        <v>2273</v>
      </c>
    </row>
    <row r="22" spans="1:5" ht="15" customHeight="1">
      <c r="A22" s="621" t="s">
        <v>70</v>
      </c>
      <c r="B22" s="622"/>
      <c r="C22" s="148"/>
      <c r="D22" s="148"/>
      <c r="E22" s="149"/>
    </row>
    <row r="23" spans="1:5" s="107" customFormat="1" ht="27" customHeight="1">
      <c r="A23" s="628" t="s">
        <v>673</v>
      </c>
      <c r="B23" s="628"/>
      <c r="C23" s="628"/>
      <c r="D23" s="628"/>
      <c r="E23" s="628"/>
    </row>
    <row r="24" spans="1:5" ht="21" customHeight="1">
      <c r="A24" s="124" t="s">
        <v>281</v>
      </c>
      <c r="B24" s="65">
        <v>2017</v>
      </c>
      <c r="C24" s="58">
        <v>12034</v>
      </c>
      <c r="D24" s="58">
        <v>10396</v>
      </c>
      <c r="E24" s="142">
        <v>1638</v>
      </c>
    </row>
    <row r="25" spans="1:5" ht="18.75" customHeight="1">
      <c r="A25" s="125" t="s">
        <v>282</v>
      </c>
      <c r="B25" s="56">
        <v>2016</v>
      </c>
      <c r="C25" s="144">
        <v>16454</v>
      </c>
      <c r="D25" s="144">
        <v>13554</v>
      </c>
      <c r="E25" s="145">
        <v>2900</v>
      </c>
    </row>
    <row r="26" spans="1:5" ht="15">
      <c r="A26" s="61"/>
      <c r="B26" s="56"/>
      <c r="C26" s="64"/>
      <c r="D26" s="64"/>
      <c r="E26" s="76"/>
    </row>
    <row r="27" spans="1:5" ht="15" customHeight="1">
      <c r="A27" s="611" t="s">
        <v>71</v>
      </c>
      <c r="B27" s="611"/>
      <c r="C27" s="148">
        <v>31</v>
      </c>
      <c r="D27" s="148">
        <v>30</v>
      </c>
      <c r="E27" s="149">
        <v>1</v>
      </c>
    </row>
    <row r="28" spans="1:5" ht="15" customHeight="1">
      <c r="A28" s="621" t="s">
        <v>63</v>
      </c>
      <c r="B28" s="622"/>
      <c r="C28" s="148"/>
      <c r="D28" s="148"/>
      <c r="E28" s="149"/>
    </row>
    <row r="29" spans="1:5" ht="15" customHeight="1">
      <c r="A29" s="611" t="s">
        <v>72</v>
      </c>
      <c r="B29" s="611"/>
      <c r="C29" s="148">
        <v>371</v>
      </c>
      <c r="D29" s="148">
        <v>331</v>
      </c>
      <c r="E29" s="149">
        <v>40</v>
      </c>
    </row>
    <row r="30" spans="1:5" ht="15" customHeight="1">
      <c r="A30" s="611" t="s">
        <v>73</v>
      </c>
      <c r="B30" s="611"/>
      <c r="C30" s="146">
        <v>1870</v>
      </c>
      <c r="D30" s="146">
        <v>1748</v>
      </c>
      <c r="E30" s="149">
        <v>122</v>
      </c>
    </row>
    <row r="31" spans="1:5" ht="15" customHeight="1">
      <c r="A31" s="611" t="s">
        <v>74</v>
      </c>
      <c r="B31" s="611"/>
      <c r="C31" s="146">
        <v>1537</v>
      </c>
      <c r="D31" s="146">
        <v>1473</v>
      </c>
      <c r="E31" s="149">
        <v>64</v>
      </c>
    </row>
    <row r="32" spans="1:5" ht="15" customHeight="1">
      <c r="A32" s="611" t="s">
        <v>64</v>
      </c>
      <c r="B32" s="611"/>
      <c r="C32" s="146">
        <v>1803</v>
      </c>
      <c r="D32" s="146">
        <v>1678</v>
      </c>
      <c r="E32" s="149">
        <v>125</v>
      </c>
    </row>
    <row r="33" spans="1:5" ht="15" customHeight="1">
      <c r="A33" s="611" t="s">
        <v>65</v>
      </c>
      <c r="B33" s="611"/>
      <c r="C33" s="147">
        <v>1792</v>
      </c>
      <c r="D33" s="147">
        <v>1550</v>
      </c>
      <c r="E33" s="149">
        <v>242</v>
      </c>
    </row>
    <row r="34" spans="1:5" ht="15" customHeight="1">
      <c r="A34" s="611" t="s">
        <v>75</v>
      </c>
      <c r="B34" s="611"/>
      <c r="C34" s="147">
        <v>4630</v>
      </c>
      <c r="D34" s="147">
        <v>3586</v>
      </c>
      <c r="E34" s="147">
        <v>1044</v>
      </c>
    </row>
    <row r="35" spans="1:5" ht="15" customHeight="1">
      <c r="A35" s="621" t="s">
        <v>70</v>
      </c>
      <c r="B35" s="621"/>
      <c r="C35" s="149"/>
      <c r="D35" s="149"/>
      <c r="E35" s="149"/>
    </row>
    <row r="36" spans="1:5" ht="14.1" customHeight="1">
      <c r="A36" s="112"/>
      <c r="B36" s="112"/>
      <c r="C36" s="150"/>
      <c r="D36" s="150"/>
      <c r="E36" s="150"/>
    </row>
    <row r="37" spans="1:5" ht="29.25" customHeight="1">
      <c r="A37" s="17"/>
      <c r="B37" s="17"/>
      <c r="C37" s="17"/>
      <c r="D37" s="17"/>
      <c r="E37" s="17"/>
    </row>
    <row r="38" spans="1:5" ht="26.25" customHeight="1">
      <c r="A38" s="18"/>
      <c r="B38" s="18"/>
      <c r="C38" s="18"/>
      <c r="D38" s="18"/>
      <c r="E38" s="18"/>
    </row>
    <row r="39" spans="1:5" ht="31.5" customHeight="1">
      <c r="A39" s="18"/>
      <c r="B39" s="18"/>
      <c r="C39" s="18"/>
      <c r="D39" s="18"/>
      <c r="E39" s="18"/>
    </row>
  </sheetData>
  <mergeCells count="27">
    <mergeCell ref="A15:B15"/>
    <mergeCell ref="A1:E1"/>
    <mergeCell ref="A2:E2"/>
    <mergeCell ref="A7:E7"/>
    <mergeCell ref="A11:B11"/>
    <mergeCell ref="A12:B12"/>
    <mergeCell ref="A13:B13"/>
    <mergeCell ref="A14:B14"/>
    <mergeCell ref="C5:E5"/>
    <mergeCell ref="A4:B5"/>
    <mergeCell ref="A30:B30"/>
    <mergeCell ref="A16:B16"/>
    <mergeCell ref="A17:B17"/>
    <mergeCell ref="A18:B18"/>
    <mergeCell ref="A19:B19"/>
    <mergeCell ref="A20:B20"/>
    <mergeCell ref="A21:B21"/>
    <mergeCell ref="A22:B22"/>
    <mergeCell ref="A23:E23"/>
    <mergeCell ref="A27:B27"/>
    <mergeCell ref="A28:B28"/>
    <mergeCell ref="A29:B29"/>
    <mergeCell ref="A31:B31"/>
    <mergeCell ref="A32:B32"/>
    <mergeCell ref="A33:B33"/>
    <mergeCell ref="A34:B34"/>
    <mergeCell ref="A35:B3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Layout" workbookViewId="0" topLeftCell="A1">
      <selection activeCell="E31" sqref="E31"/>
    </sheetView>
  </sheetViews>
  <sheetFormatPr defaultColWidth="9.140625" defaultRowHeight="15"/>
  <cols>
    <col min="1" max="1" width="40.7109375" style="4" customWidth="1"/>
    <col min="2" max="10" width="11.7109375" style="4" customWidth="1"/>
    <col min="11" max="11" width="11.7109375" style="3" customWidth="1"/>
    <col min="12" max="12" width="52.28125" style="4" customWidth="1"/>
    <col min="13" max="16384" width="9.140625" style="4" customWidth="1"/>
  </cols>
  <sheetData>
    <row r="1" spans="1:11" ht="15">
      <c r="A1" s="586" t="s">
        <v>556</v>
      </c>
      <c r="B1" s="586"/>
      <c r="C1" s="586"/>
      <c r="D1" s="586"/>
      <c r="E1" s="586"/>
      <c r="F1" s="586"/>
      <c r="G1" s="586"/>
      <c r="H1" s="586"/>
      <c r="I1" s="586"/>
      <c r="J1" s="586"/>
      <c r="K1" s="586"/>
    </row>
    <row r="2" spans="1:11" ht="15">
      <c r="A2" s="202" t="s">
        <v>557</v>
      </c>
      <c r="B2" s="203"/>
      <c r="C2" s="203"/>
      <c r="D2" s="203"/>
      <c r="E2" s="203"/>
      <c r="F2" s="203"/>
      <c r="G2" s="203"/>
      <c r="H2" s="203"/>
      <c r="I2" s="203"/>
      <c r="J2" s="203"/>
      <c r="K2" s="203"/>
    </row>
    <row r="3" spans="1:11" ht="9.95" customHeight="1">
      <c r="A3" s="203"/>
      <c r="B3" s="203"/>
      <c r="C3" s="203"/>
      <c r="D3" s="203"/>
      <c r="E3" s="203"/>
      <c r="F3" s="203"/>
      <c r="G3" s="203"/>
      <c r="H3" s="203"/>
      <c r="I3" s="203"/>
      <c r="J3" s="203"/>
      <c r="K3" s="203"/>
    </row>
    <row r="4" spans="1:11" ht="15.95" customHeight="1">
      <c r="A4" s="5" t="s">
        <v>582</v>
      </c>
      <c r="B4" s="24"/>
      <c r="C4" s="24"/>
      <c r="D4" s="24"/>
      <c r="E4" s="24"/>
      <c r="F4" s="24"/>
      <c r="G4" s="24"/>
      <c r="H4" s="24"/>
      <c r="I4" s="24"/>
      <c r="J4" s="24"/>
      <c r="K4" s="204"/>
    </row>
    <row r="5" spans="1:10" ht="15.95" customHeight="1">
      <c r="A5" s="10" t="s">
        <v>583</v>
      </c>
      <c r="C5" s="7"/>
      <c r="D5" s="7"/>
      <c r="E5" s="7"/>
      <c r="F5" s="7"/>
      <c r="G5" s="7"/>
      <c r="H5" s="3"/>
      <c r="I5" s="3"/>
      <c r="J5" s="3"/>
    </row>
    <row r="6" spans="1:10" ht="9.95" customHeight="1">
      <c r="A6" s="10"/>
      <c r="C6" s="7"/>
      <c r="D6" s="7"/>
      <c r="E6" s="7"/>
      <c r="F6" s="7"/>
      <c r="G6" s="7"/>
      <c r="H6" s="3"/>
      <c r="I6" s="3"/>
      <c r="J6" s="3"/>
    </row>
    <row r="7" spans="1:11" ht="15">
      <c r="A7" s="580" t="s">
        <v>595</v>
      </c>
      <c r="B7" s="25">
        <v>2005</v>
      </c>
      <c r="C7" s="27" t="s">
        <v>16</v>
      </c>
      <c r="D7" s="25">
        <v>2010</v>
      </c>
      <c r="E7" s="27" t="s">
        <v>17</v>
      </c>
      <c r="F7" s="25">
        <v>2015</v>
      </c>
      <c r="G7" s="27" t="s">
        <v>18</v>
      </c>
      <c r="H7" s="25">
        <v>2016</v>
      </c>
      <c r="I7" s="28" t="s">
        <v>19</v>
      </c>
      <c r="J7" s="25">
        <v>2017</v>
      </c>
      <c r="K7" s="28" t="s">
        <v>561</v>
      </c>
    </row>
    <row r="8" spans="1:11" ht="24">
      <c r="A8" s="581"/>
      <c r="B8" s="27" t="s">
        <v>686</v>
      </c>
      <c r="C8" s="27" t="s">
        <v>596</v>
      </c>
      <c r="D8" s="27" t="s">
        <v>686</v>
      </c>
      <c r="E8" s="27" t="s">
        <v>596</v>
      </c>
      <c r="F8" s="27" t="s">
        <v>686</v>
      </c>
      <c r="G8" s="27" t="s">
        <v>596</v>
      </c>
      <c r="H8" s="27" t="s">
        <v>686</v>
      </c>
      <c r="I8" s="28" t="s">
        <v>596</v>
      </c>
      <c r="J8" s="27" t="s">
        <v>686</v>
      </c>
      <c r="K8" s="28" t="s">
        <v>596</v>
      </c>
    </row>
    <row r="9" spans="1:11" ht="15">
      <c r="A9" s="29"/>
      <c r="B9" s="205"/>
      <c r="C9" s="206"/>
      <c r="D9" s="205"/>
      <c r="E9" s="205"/>
      <c r="F9" s="205"/>
      <c r="G9" s="205"/>
      <c r="H9" s="205"/>
      <c r="I9" s="207"/>
      <c r="J9" s="205"/>
      <c r="K9" s="207"/>
    </row>
    <row r="10" spans="1:11" ht="15">
      <c r="A10" s="187" t="s">
        <v>304</v>
      </c>
      <c r="B10" s="188" t="s">
        <v>30</v>
      </c>
      <c r="C10" s="188">
        <v>102.2</v>
      </c>
      <c r="D10" s="189">
        <v>170879</v>
      </c>
      <c r="E10" s="188">
        <v>105.5</v>
      </c>
      <c r="F10" s="188" t="s">
        <v>32</v>
      </c>
      <c r="G10" s="188">
        <v>103.1</v>
      </c>
      <c r="H10" s="208">
        <v>210095</v>
      </c>
      <c r="I10" s="209">
        <v>102.1</v>
      </c>
      <c r="J10" s="208">
        <f>J15+J17+J19+J21+J23</f>
        <v>216014.49999999997</v>
      </c>
      <c r="K10" s="209">
        <f>J10/H10*100</f>
        <v>102.8175349246769</v>
      </c>
    </row>
    <row r="11" spans="1:11" ht="15">
      <c r="A11" s="210" t="s">
        <v>229</v>
      </c>
      <c r="B11" s="188"/>
      <c r="C11" s="188"/>
      <c r="D11" s="189"/>
      <c r="E11" s="188"/>
      <c r="F11" s="188"/>
      <c r="G11" s="188"/>
      <c r="H11" s="208"/>
      <c r="I11" s="209"/>
      <c r="J11" s="208"/>
      <c r="K11" s="209"/>
    </row>
    <row r="12" spans="1:11" ht="15">
      <c r="A12" s="187" t="s">
        <v>305</v>
      </c>
      <c r="B12" s="189">
        <v>105704</v>
      </c>
      <c r="C12" s="188">
        <v>102.9</v>
      </c>
      <c r="D12" s="189">
        <v>155131</v>
      </c>
      <c r="E12" s="190">
        <v>106</v>
      </c>
      <c r="F12" s="188" t="s">
        <v>33</v>
      </c>
      <c r="G12" s="191">
        <v>103.2</v>
      </c>
      <c r="H12" s="211">
        <v>193141</v>
      </c>
      <c r="I12" s="212">
        <v>102.3</v>
      </c>
      <c r="J12" s="211">
        <v>199091</v>
      </c>
      <c r="K12" s="212">
        <f>J12/H12*100</f>
        <v>103.08065092341864</v>
      </c>
    </row>
    <row r="13" spans="1:11" ht="15.95" customHeight="1">
      <c r="A13" s="192" t="s">
        <v>20</v>
      </c>
      <c r="B13" s="35"/>
      <c r="C13" s="35"/>
      <c r="D13" s="35"/>
      <c r="E13" s="35"/>
      <c r="F13" s="35"/>
      <c r="G13" s="35"/>
      <c r="H13" s="35"/>
      <c r="I13" s="212"/>
      <c r="J13" s="35"/>
      <c r="K13" s="212"/>
    </row>
    <row r="14" spans="1:11" ht="15.95" customHeight="1">
      <c r="A14" s="14" t="s">
        <v>590</v>
      </c>
      <c r="B14" s="38"/>
      <c r="C14" s="38"/>
      <c r="D14" s="38"/>
      <c r="E14" s="38"/>
      <c r="F14" s="38"/>
      <c r="G14" s="38"/>
      <c r="H14" s="38"/>
      <c r="I14" s="213"/>
      <c r="J14" s="38"/>
      <c r="K14" s="213"/>
    </row>
    <row r="15" spans="1:11" ht="25.5">
      <c r="A15" s="193" t="s">
        <v>680</v>
      </c>
      <c r="B15" s="194" t="s">
        <v>681</v>
      </c>
      <c r="C15" s="194">
        <v>102.9</v>
      </c>
      <c r="D15" s="195">
        <v>142840.8</v>
      </c>
      <c r="E15" s="194">
        <v>105.9</v>
      </c>
      <c r="F15" s="195">
        <v>172908.8</v>
      </c>
      <c r="G15" s="194">
        <v>103.3</v>
      </c>
      <c r="H15" s="38">
        <v>177127.9</v>
      </c>
      <c r="I15" s="213">
        <v>102.4</v>
      </c>
      <c r="J15" s="38">
        <v>182993.5</v>
      </c>
      <c r="K15" s="213">
        <f>J15/H15*100</f>
        <v>103.31150541501368</v>
      </c>
    </row>
    <row r="16" spans="1:11" ht="13.5">
      <c r="A16" s="196" t="s">
        <v>682</v>
      </c>
      <c r="B16" s="194"/>
      <c r="C16" s="194"/>
      <c r="D16" s="195"/>
      <c r="E16" s="194"/>
      <c r="F16" s="195"/>
      <c r="G16" s="194"/>
      <c r="H16" s="38"/>
      <c r="I16" s="213"/>
      <c r="J16" s="38"/>
      <c r="K16" s="213"/>
    </row>
    <row r="17" spans="1:11" ht="13.5">
      <c r="A17" s="197" t="s">
        <v>683</v>
      </c>
      <c r="B17" s="194" t="s">
        <v>684</v>
      </c>
      <c r="C17" s="194">
        <v>102.3</v>
      </c>
      <c r="D17" s="195">
        <v>5288</v>
      </c>
      <c r="E17" s="198">
        <v>106</v>
      </c>
      <c r="F17" s="194" t="s">
        <v>34</v>
      </c>
      <c r="G17" s="194">
        <v>100.9</v>
      </c>
      <c r="H17" s="38">
        <v>6389.8</v>
      </c>
      <c r="I17" s="213">
        <v>100</v>
      </c>
      <c r="J17" s="38">
        <v>6438.9</v>
      </c>
      <c r="K17" s="213">
        <f>J17/H17*100</f>
        <v>100.76841215687502</v>
      </c>
    </row>
    <row r="18" spans="1:11" ht="15">
      <c r="A18" s="196" t="s">
        <v>302</v>
      </c>
      <c r="B18" s="194"/>
      <c r="C18" s="194"/>
      <c r="D18" s="195"/>
      <c r="E18" s="198"/>
      <c r="F18" s="194"/>
      <c r="G18" s="194"/>
      <c r="H18" s="38"/>
      <c r="I18" s="213"/>
      <c r="J18" s="38"/>
      <c r="K18" s="213"/>
    </row>
    <row r="19" spans="1:11" ht="13.5">
      <c r="A19" s="197" t="s">
        <v>254</v>
      </c>
      <c r="B19" s="194" t="s">
        <v>685</v>
      </c>
      <c r="C19" s="194">
        <v>102.7</v>
      </c>
      <c r="D19" s="195">
        <v>6047.5</v>
      </c>
      <c r="E19" s="198">
        <v>107</v>
      </c>
      <c r="F19" s="194" t="s">
        <v>35</v>
      </c>
      <c r="G19" s="194">
        <v>102.6</v>
      </c>
      <c r="H19" s="38">
        <v>8281.9</v>
      </c>
      <c r="I19" s="213">
        <v>101.5</v>
      </c>
      <c r="J19" s="38">
        <v>8290.3</v>
      </c>
      <c r="K19" s="213">
        <f>J19/H19*100</f>
        <v>100.10142600127989</v>
      </c>
    </row>
    <row r="20" spans="1:11" ht="15">
      <c r="A20" s="196" t="s">
        <v>303</v>
      </c>
      <c r="B20" s="194"/>
      <c r="C20" s="194"/>
      <c r="D20" s="195"/>
      <c r="E20" s="198"/>
      <c r="F20" s="194"/>
      <c r="G20" s="194"/>
      <c r="H20" s="38"/>
      <c r="I20" s="213"/>
      <c r="J20" s="38"/>
      <c r="K20" s="213"/>
    </row>
    <row r="21" spans="1:11" ht="15">
      <c r="A21" s="197" t="s">
        <v>301</v>
      </c>
      <c r="B21" s="38">
        <v>598.6</v>
      </c>
      <c r="C21" s="38">
        <v>103.3</v>
      </c>
      <c r="D21" s="38">
        <v>954.8</v>
      </c>
      <c r="E21" s="38">
        <v>111</v>
      </c>
      <c r="F21" s="194" t="s">
        <v>36</v>
      </c>
      <c r="G21" s="194">
        <v>102.6</v>
      </c>
      <c r="H21" s="38">
        <v>1341.7</v>
      </c>
      <c r="I21" s="213">
        <v>101.9</v>
      </c>
      <c r="J21" s="38">
        <v>1367.8</v>
      </c>
      <c r="K21" s="213">
        <f>J21/H21*100</f>
        <v>101.94529328463888</v>
      </c>
    </row>
    <row r="22" spans="1:11" ht="15">
      <c r="A22" s="196" t="s">
        <v>257</v>
      </c>
      <c r="B22" s="38"/>
      <c r="C22" s="38"/>
      <c r="D22" s="38"/>
      <c r="E22" s="38"/>
      <c r="F22" s="38"/>
      <c r="G22" s="38"/>
      <c r="H22" s="38"/>
      <c r="I22" s="213"/>
      <c r="J22" s="38"/>
      <c r="K22" s="213"/>
    </row>
    <row r="23" spans="1:11" ht="15">
      <c r="A23" s="187" t="s">
        <v>598</v>
      </c>
      <c r="B23" s="199" t="s">
        <v>31</v>
      </c>
      <c r="C23" s="199">
        <v>97.7</v>
      </c>
      <c r="D23" s="200">
        <v>15748</v>
      </c>
      <c r="E23" s="201">
        <v>101</v>
      </c>
      <c r="F23" s="200">
        <v>17031</v>
      </c>
      <c r="G23" s="199">
        <v>102.3</v>
      </c>
      <c r="H23" s="211">
        <v>16954</v>
      </c>
      <c r="I23" s="212">
        <v>99.5</v>
      </c>
      <c r="J23" s="211">
        <v>16924</v>
      </c>
      <c r="K23" s="212">
        <f>J23/H23*100</f>
        <v>99.82305060752624</v>
      </c>
    </row>
    <row r="24" spans="1:11" ht="15">
      <c r="A24" s="192" t="s">
        <v>258</v>
      </c>
      <c r="B24" s="42"/>
      <c r="C24" s="42"/>
      <c r="D24" s="42"/>
      <c r="E24" s="42"/>
      <c r="F24" s="42"/>
      <c r="G24" s="42"/>
      <c r="H24" s="42"/>
      <c r="I24" s="214"/>
      <c r="J24" s="215"/>
      <c r="K24" s="214"/>
    </row>
    <row r="25" spans="1:11" ht="5.1" customHeight="1">
      <c r="A25" s="192"/>
      <c r="B25" s="43"/>
      <c r="C25" s="43"/>
      <c r="D25" s="43"/>
      <c r="E25" s="43"/>
      <c r="F25" s="43"/>
      <c r="G25" s="43"/>
      <c r="H25" s="43"/>
      <c r="I25" s="43"/>
      <c r="J25" s="43"/>
      <c r="K25" s="43"/>
    </row>
    <row r="26" spans="1:11" ht="43.5" customHeight="1">
      <c r="A26" s="609" t="s">
        <v>975</v>
      </c>
      <c r="B26" s="609"/>
      <c r="C26" s="609"/>
      <c r="D26" s="609"/>
      <c r="E26" s="609"/>
      <c r="F26" s="609"/>
      <c r="G26" s="609"/>
      <c r="H26" s="609"/>
      <c r="I26" s="609"/>
      <c r="J26" s="609"/>
      <c r="K26" s="609"/>
    </row>
    <row r="27" spans="1:11" ht="45" customHeight="1">
      <c r="A27" s="608" t="s">
        <v>976</v>
      </c>
      <c r="B27" s="608"/>
      <c r="C27" s="608"/>
      <c r="D27" s="608"/>
      <c r="E27" s="608"/>
      <c r="F27" s="608"/>
      <c r="G27" s="608"/>
      <c r="H27" s="608"/>
      <c r="I27" s="608"/>
      <c r="J27" s="608"/>
      <c r="K27" s="608"/>
    </row>
    <row r="29" ht="15">
      <c r="A29" s="5"/>
    </row>
  </sheetData>
  <mergeCells count="4">
    <mergeCell ref="A27:K27"/>
    <mergeCell ref="A7:A8"/>
    <mergeCell ref="A26:K26"/>
    <mergeCell ref="A1:K1"/>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7" r:id="rId1"/>
  <headerFooter>
    <oddFooter>&amp;R&amp;"Arial,Normalny"&amp;10 53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Layout" workbookViewId="0" topLeftCell="A1">
      <selection activeCell="E31" sqref="E31"/>
    </sheetView>
  </sheetViews>
  <sheetFormatPr defaultColWidth="9.140625" defaultRowHeight="15"/>
  <cols>
    <col min="1" max="1" width="40.7109375" style="4" customWidth="1"/>
    <col min="2" max="10" width="11.7109375" style="4" customWidth="1"/>
    <col min="11" max="11" width="11.421875" style="4" customWidth="1"/>
    <col min="12" max="12" width="11.28125" style="4" customWidth="1"/>
    <col min="13" max="13" width="9.421875" style="4" customWidth="1"/>
    <col min="14" max="14" width="8.8515625" style="4" customWidth="1"/>
    <col min="15" max="16384" width="9.140625" style="4" customWidth="1"/>
  </cols>
  <sheetData>
    <row r="1" ht="15">
      <c r="A1" s="5" t="s">
        <v>594</v>
      </c>
    </row>
    <row r="2" ht="9.95" customHeight="1">
      <c r="A2" s="5"/>
    </row>
    <row r="3" spans="1:13" ht="15.95" customHeight="1">
      <c r="A3" s="5" t="s">
        <v>224</v>
      </c>
      <c r="B3" s="24"/>
      <c r="C3" s="24"/>
      <c r="D3" s="24"/>
      <c r="E3" s="24"/>
      <c r="F3" s="24"/>
      <c r="G3" s="24"/>
      <c r="H3" s="24"/>
      <c r="I3" s="24"/>
      <c r="J3" s="24"/>
      <c r="K3" s="24"/>
      <c r="L3" s="24"/>
      <c r="M3" s="9"/>
    </row>
    <row r="4" spans="1:12" ht="15.95" customHeight="1">
      <c r="A4" s="568" t="s">
        <v>223</v>
      </c>
      <c r="C4" s="568"/>
      <c r="D4" s="568"/>
      <c r="E4" s="568"/>
      <c r="F4" s="568"/>
      <c r="G4" s="568"/>
      <c r="H4" s="3"/>
      <c r="I4" s="3"/>
      <c r="J4" s="3"/>
      <c r="K4" s="3"/>
      <c r="L4" s="3"/>
    </row>
    <row r="5" spans="1:12" ht="9.95" customHeight="1">
      <c r="A5" s="568"/>
      <c r="C5" s="568"/>
      <c r="D5" s="568"/>
      <c r="E5" s="568"/>
      <c r="F5" s="568"/>
      <c r="G5" s="568"/>
      <c r="H5" s="3"/>
      <c r="I5" s="3"/>
      <c r="J5" s="3"/>
      <c r="K5" s="3"/>
      <c r="L5" s="3"/>
    </row>
    <row r="6" spans="1:12" ht="23.25" customHeight="1">
      <c r="A6" s="580" t="s">
        <v>595</v>
      </c>
      <c r="B6" s="25">
        <v>2005</v>
      </c>
      <c r="C6" s="572" t="s">
        <v>16</v>
      </c>
      <c r="D6" s="25">
        <v>2010</v>
      </c>
      <c r="E6" s="27" t="s">
        <v>17</v>
      </c>
      <c r="F6" s="25">
        <v>2015</v>
      </c>
      <c r="G6" s="27" t="s">
        <v>18</v>
      </c>
      <c r="H6" s="25">
        <v>2016</v>
      </c>
      <c r="I6" s="570" t="s">
        <v>19</v>
      </c>
      <c r="J6" s="25">
        <v>2017</v>
      </c>
      <c r="K6" s="570" t="s">
        <v>561</v>
      </c>
      <c r="L6" s="569"/>
    </row>
    <row r="7" spans="1:12" ht="59.25" customHeight="1">
      <c r="A7" s="581"/>
      <c r="B7" s="27" t="s">
        <v>599</v>
      </c>
      <c r="C7" s="572" t="s">
        <v>596</v>
      </c>
      <c r="D7" s="27" t="s">
        <v>599</v>
      </c>
      <c r="E7" s="27" t="s">
        <v>596</v>
      </c>
      <c r="F7" s="27" t="s">
        <v>599</v>
      </c>
      <c r="G7" s="27" t="s">
        <v>596</v>
      </c>
      <c r="H7" s="27" t="s">
        <v>599</v>
      </c>
      <c r="I7" s="570" t="s">
        <v>596</v>
      </c>
      <c r="J7" s="27" t="s">
        <v>599</v>
      </c>
      <c r="K7" s="570" t="s">
        <v>596</v>
      </c>
      <c r="L7" s="569"/>
    </row>
    <row r="8" spans="1:12" ht="14.25" customHeight="1">
      <c r="A8" s="569"/>
      <c r="B8" s="571"/>
      <c r="C8" s="30"/>
      <c r="D8" s="571"/>
      <c r="E8" s="569"/>
      <c r="F8" s="571"/>
      <c r="G8" s="569"/>
      <c r="H8" s="571"/>
      <c r="I8" s="571"/>
      <c r="J8" s="571"/>
      <c r="K8" s="569"/>
      <c r="L8" s="569"/>
    </row>
    <row r="9" spans="1:12" ht="15">
      <c r="A9" s="13" t="s">
        <v>597</v>
      </c>
      <c r="B9" s="31">
        <v>9168.6</v>
      </c>
      <c r="C9" s="32">
        <v>99.5</v>
      </c>
      <c r="D9" s="31">
        <v>9243.4</v>
      </c>
      <c r="E9" s="32">
        <v>99</v>
      </c>
      <c r="F9" s="31">
        <v>8879.6</v>
      </c>
      <c r="G9" s="32">
        <v>100.1</v>
      </c>
      <c r="H9" s="31">
        <v>8908.9</v>
      </c>
      <c r="I9" s="33">
        <v>100.3</v>
      </c>
      <c r="J9" s="33">
        <f>J11+J22</f>
        <v>8935.163829</v>
      </c>
      <c r="K9" s="32">
        <f>J9/H9*100</f>
        <v>100.29480439784935</v>
      </c>
      <c r="L9" s="32"/>
    </row>
    <row r="10" spans="1:12" ht="15">
      <c r="A10" s="34" t="s">
        <v>229</v>
      </c>
      <c r="B10" s="31"/>
      <c r="C10" s="32"/>
      <c r="D10" s="31"/>
      <c r="E10" s="32"/>
      <c r="F10" s="31"/>
      <c r="G10" s="32"/>
      <c r="H10" s="31"/>
      <c r="I10" s="33"/>
      <c r="J10" s="33"/>
      <c r="K10" s="32"/>
      <c r="L10" s="32"/>
    </row>
    <row r="11" spans="1:12" ht="15">
      <c r="A11" s="13" t="s">
        <v>252</v>
      </c>
      <c r="B11" s="35">
        <v>7524</v>
      </c>
      <c r="C11" s="36">
        <v>100.3</v>
      </c>
      <c r="D11" s="35">
        <v>7868.8</v>
      </c>
      <c r="E11" s="36">
        <v>99.5</v>
      </c>
      <c r="F11" s="35">
        <v>7676.5</v>
      </c>
      <c r="G11" s="36">
        <v>100.2</v>
      </c>
      <c r="H11" s="35">
        <v>7714.5</v>
      </c>
      <c r="I11" s="37">
        <v>100.5</v>
      </c>
      <c r="J11" s="37">
        <f>J14+J16+J18+J20</f>
        <v>7759.858828999999</v>
      </c>
      <c r="K11" s="36">
        <f>J11/H11*100</f>
        <v>100.58796848791236</v>
      </c>
      <c r="L11" s="36"/>
    </row>
    <row r="12" spans="1:12" ht="15">
      <c r="A12" s="568" t="s">
        <v>20</v>
      </c>
      <c r="B12" s="35"/>
      <c r="C12" s="36"/>
      <c r="D12" s="35"/>
      <c r="E12" s="36"/>
      <c r="F12" s="35"/>
      <c r="G12" s="36"/>
      <c r="H12" s="35"/>
      <c r="I12" s="37"/>
      <c r="J12" s="37"/>
      <c r="K12" s="36"/>
      <c r="L12" s="36"/>
    </row>
    <row r="13" spans="1:12" ht="15">
      <c r="A13" s="14" t="s">
        <v>590</v>
      </c>
      <c r="B13" s="38"/>
      <c r="C13" s="39"/>
      <c r="D13" s="38"/>
      <c r="E13" s="39"/>
      <c r="F13" s="38"/>
      <c r="G13" s="39"/>
      <c r="H13" s="38"/>
      <c r="I13" s="40"/>
      <c r="J13" s="40"/>
      <c r="K13" s="39"/>
      <c r="L13" s="39"/>
    </row>
    <row r="14" spans="1:12" ht="15" customHeight="1">
      <c r="A14" s="15" t="s">
        <v>591</v>
      </c>
      <c r="B14" s="38">
        <v>7184.2</v>
      </c>
      <c r="C14" s="39">
        <v>100.1</v>
      </c>
      <c r="D14" s="38">
        <v>7491.4</v>
      </c>
      <c r="E14" s="39">
        <v>99.4</v>
      </c>
      <c r="F14" s="38">
        <v>7273.8</v>
      </c>
      <c r="G14" s="39">
        <v>100.3</v>
      </c>
      <c r="H14" s="38">
        <v>7312.8</v>
      </c>
      <c r="I14" s="40">
        <v>100.5</v>
      </c>
      <c r="J14" s="40">
        <v>7358.2</v>
      </c>
      <c r="K14" s="39">
        <f>J14/H14*100</f>
        <v>100.62082923093753</v>
      </c>
      <c r="L14" s="39"/>
    </row>
    <row r="15" spans="1:12" ht="15" customHeight="1">
      <c r="A15" s="15" t="s">
        <v>592</v>
      </c>
      <c r="B15" s="38"/>
      <c r="C15" s="39"/>
      <c r="D15" s="38"/>
      <c r="E15" s="39"/>
      <c r="F15" s="38"/>
      <c r="G15" s="39"/>
      <c r="H15" s="38"/>
      <c r="I15" s="40"/>
      <c r="J15" s="40"/>
      <c r="K15" s="39"/>
      <c r="L15" s="39"/>
    </row>
    <row r="16" spans="1:12" ht="15">
      <c r="A16" s="16" t="s">
        <v>253</v>
      </c>
      <c r="B16" s="38">
        <v>153.3</v>
      </c>
      <c r="C16" s="39">
        <v>104.5</v>
      </c>
      <c r="D16" s="38">
        <v>160.5</v>
      </c>
      <c r="E16" s="39">
        <v>100.4</v>
      </c>
      <c r="F16" s="38">
        <v>164.9</v>
      </c>
      <c r="G16" s="39">
        <v>99.2</v>
      </c>
      <c r="H16" s="38">
        <v>163.5</v>
      </c>
      <c r="I16" s="40">
        <v>99.1</v>
      </c>
      <c r="J16" s="40">
        <v>162.726833</v>
      </c>
      <c r="K16" s="39">
        <f>J16/H16*100</f>
        <v>99.52711498470947</v>
      </c>
      <c r="L16" s="39"/>
    </row>
    <row r="17" spans="1:12" ht="15">
      <c r="A17" s="15" t="s">
        <v>308</v>
      </c>
      <c r="B17" s="38"/>
      <c r="C17" s="39"/>
      <c r="D17" s="38"/>
      <c r="E17" s="39"/>
      <c r="F17" s="38"/>
      <c r="G17" s="39"/>
      <c r="H17" s="38"/>
      <c r="I17" s="40"/>
      <c r="J17" s="40"/>
      <c r="K17" s="39"/>
      <c r="L17" s="39"/>
    </row>
    <row r="18" spans="1:12" ht="15">
      <c r="A18" s="16" t="s">
        <v>254</v>
      </c>
      <c r="B18" s="38">
        <v>162.5</v>
      </c>
      <c r="C18" s="39">
        <v>100.7</v>
      </c>
      <c r="D18" s="38">
        <v>188.5</v>
      </c>
      <c r="E18" s="39">
        <v>102.2</v>
      </c>
      <c r="F18" s="38">
        <v>205.8</v>
      </c>
      <c r="G18" s="39">
        <v>100.4</v>
      </c>
      <c r="H18" s="38">
        <v>206.1</v>
      </c>
      <c r="I18" s="40">
        <v>100.1</v>
      </c>
      <c r="J18" s="40">
        <v>206.494916</v>
      </c>
      <c r="K18" s="39">
        <f>J18/H18*100</f>
        <v>100.1916137797186</v>
      </c>
      <c r="L18" s="39"/>
    </row>
    <row r="19" spans="1:12" ht="15">
      <c r="A19" s="15" t="s">
        <v>255</v>
      </c>
      <c r="B19" s="38"/>
      <c r="C19" s="39"/>
      <c r="D19" s="38"/>
      <c r="E19" s="39"/>
      <c r="F19" s="38"/>
      <c r="G19" s="39"/>
      <c r="H19" s="38"/>
      <c r="I19" s="40"/>
      <c r="J19" s="40"/>
      <c r="K19" s="39"/>
      <c r="L19" s="39"/>
    </row>
    <row r="20" spans="1:12" ht="15">
      <c r="A20" s="16" t="s">
        <v>256</v>
      </c>
      <c r="B20" s="38">
        <v>24</v>
      </c>
      <c r="C20" s="39">
        <v>102.6</v>
      </c>
      <c r="D20" s="38">
        <v>28.4</v>
      </c>
      <c r="E20" s="39">
        <v>103.2</v>
      </c>
      <c r="F20" s="38">
        <v>32</v>
      </c>
      <c r="G20" s="39">
        <v>100.6</v>
      </c>
      <c r="H20" s="38">
        <v>32.2</v>
      </c>
      <c r="I20" s="40">
        <v>100.7</v>
      </c>
      <c r="J20" s="40">
        <v>32.43708</v>
      </c>
      <c r="K20" s="39">
        <v>100.8</v>
      </c>
      <c r="L20" s="39"/>
    </row>
    <row r="21" spans="1:12" ht="15">
      <c r="A21" s="15" t="s">
        <v>257</v>
      </c>
      <c r="B21" s="38"/>
      <c r="C21" s="39"/>
      <c r="D21" s="38"/>
      <c r="E21" s="39"/>
      <c r="F21" s="38"/>
      <c r="G21" s="39"/>
      <c r="H21" s="38"/>
      <c r="I21" s="40"/>
      <c r="J21" s="40"/>
      <c r="K21" s="39"/>
      <c r="L21" s="39"/>
    </row>
    <row r="22" spans="1:12" ht="15">
      <c r="A22" s="13" t="s">
        <v>598</v>
      </c>
      <c r="B22" s="35">
        <v>1644.6</v>
      </c>
      <c r="C22" s="36">
        <v>96.3</v>
      </c>
      <c r="D22" s="35">
        <v>1374.7</v>
      </c>
      <c r="E22" s="36">
        <v>96.4</v>
      </c>
      <c r="F22" s="35">
        <v>1203.2</v>
      </c>
      <c r="G22" s="36">
        <v>99.3</v>
      </c>
      <c r="H22" s="35">
        <v>1194.4</v>
      </c>
      <c r="I22" s="37">
        <v>99.3</v>
      </c>
      <c r="J22" s="37">
        <v>1175.305</v>
      </c>
      <c r="K22" s="36">
        <f>J22/H22*100</f>
        <v>98.4012893503014</v>
      </c>
      <c r="L22" s="36"/>
    </row>
    <row r="23" spans="1:12" ht="15">
      <c r="A23" s="41" t="s">
        <v>258</v>
      </c>
      <c r="B23" s="42"/>
      <c r="C23" s="43"/>
      <c r="D23" s="42"/>
      <c r="E23" s="43"/>
      <c r="F23" s="42"/>
      <c r="G23" s="43"/>
      <c r="H23" s="42"/>
      <c r="I23" s="44"/>
      <c r="J23" s="44"/>
      <c r="K23" s="43"/>
      <c r="L23" s="43"/>
    </row>
    <row r="24" spans="1:12" ht="9.95" customHeight="1">
      <c r="A24" s="41"/>
      <c r="B24" s="43"/>
      <c r="C24" s="43"/>
      <c r="D24" s="43"/>
      <c r="E24" s="43"/>
      <c r="F24" s="43"/>
      <c r="G24" s="43"/>
      <c r="H24" s="43"/>
      <c r="I24" s="43"/>
      <c r="J24" s="43"/>
      <c r="K24" s="43"/>
      <c r="L24" s="43"/>
    </row>
    <row r="25" spans="1:12" ht="21" customHeight="1">
      <c r="A25" s="582" t="s">
        <v>49</v>
      </c>
      <c r="B25" s="582"/>
      <c r="C25" s="582"/>
      <c r="D25" s="582"/>
      <c r="E25" s="582"/>
      <c r="F25" s="582"/>
      <c r="G25" s="582"/>
      <c r="H25" s="582"/>
      <c r="I25" s="582"/>
      <c r="J25" s="582"/>
      <c r="K25" s="582"/>
      <c r="L25" s="17"/>
    </row>
    <row r="26" spans="1:12" ht="21.75" customHeight="1">
      <c r="A26" s="583" t="s">
        <v>48</v>
      </c>
      <c r="B26" s="583"/>
      <c r="C26" s="583"/>
      <c r="D26" s="583"/>
      <c r="E26" s="583"/>
      <c r="F26" s="583"/>
      <c r="G26" s="583"/>
      <c r="H26" s="583"/>
      <c r="I26" s="583"/>
      <c r="J26" s="583"/>
      <c r="K26" s="583"/>
      <c r="L26" s="18"/>
    </row>
    <row r="28" ht="15">
      <c r="A28" s="45"/>
    </row>
  </sheetData>
  <mergeCells count="3">
    <mergeCell ref="A6:A7"/>
    <mergeCell ref="A25:K25"/>
    <mergeCell ref="A26:K26"/>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9" r:id="rId1"/>
  <headerFooter>
    <oddFooter>&amp;C&amp;"Arial,Normalny"&amp;10 36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Layout" workbookViewId="0" topLeftCell="A19">
      <selection activeCell="E31" sqref="E31"/>
    </sheetView>
  </sheetViews>
  <sheetFormatPr defaultColWidth="9.140625" defaultRowHeight="15"/>
  <cols>
    <col min="1" max="1" width="27.8515625" style="46" customWidth="1"/>
    <col min="2" max="5" width="14.7109375" style="46" customWidth="1"/>
    <col min="6" max="16384" width="9.140625" style="46" customWidth="1"/>
  </cols>
  <sheetData>
    <row r="1" spans="1:5" ht="27.95" customHeight="1">
      <c r="A1" s="584" t="s">
        <v>687</v>
      </c>
      <c r="B1" s="584"/>
      <c r="C1" s="584"/>
      <c r="D1" s="584"/>
      <c r="E1" s="584"/>
    </row>
    <row r="2" spans="1:6" ht="27.95" customHeight="1">
      <c r="A2" s="579" t="s">
        <v>688</v>
      </c>
      <c r="B2" s="579"/>
      <c r="C2" s="579"/>
      <c r="D2" s="579"/>
      <c r="E2" s="579"/>
      <c r="F2" s="47"/>
    </row>
    <row r="3" spans="1:6" ht="9.95" customHeight="1">
      <c r="A3" s="97"/>
      <c r="B3" s="97"/>
      <c r="C3" s="97"/>
      <c r="D3" s="97"/>
      <c r="E3" s="97"/>
      <c r="F3" s="47"/>
    </row>
    <row r="4" spans="1:5" ht="46.5" customHeight="1">
      <c r="A4" s="592" t="s">
        <v>602</v>
      </c>
      <c r="B4" s="589" t="s">
        <v>689</v>
      </c>
      <c r="C4" s="590"/>
      <c r="D4" s="589" t="s">
        <v>690</v>
      </c>
      <c r="E4" s="591"/>
    </row>
    <row r="5" spans="1:5" ht="33.75" customHeight="1">
      <c r="A5" s="593"/>
      <c r="B5" s="50" t="s">
        <v>691</v>
      </c>
      <c r="C5" s="50" t="s">
        <v>560</v>
      </c>
      <c r="D5" s="50" t="s">
        <v>691</v>
      </c>
      <c r="E5" s="81" t="s">
        <v>560</v>
      </c>
    </row>
    <row r="6" spans="1:5" ht="25.5">
      <c r="A6" s="216" t="s">
        <v>692</v>
      </c>
      <c r="B6" s="83">
        <v>182993459.6</v>
      </c>
      <c r="C6" s="83">
        <v>103.3115087949823</v>
      </c>
      <c r="D6" s="120">
        <v>136986591</v>
      </c>
      <c r="E6" s="217">
        <v>104.60428433188386</v>
      </c>
    </row>
    <row r="7" spans="1:5" ht="13.5">
      <c r="A7" s="61" t="s">
        <v>693</v>
      </c>
      <c r="B7" s="62"/>
      <c r="C7" s="62"/>
      <c r="D7" s="218"/>
      <c r="E7" s="218"/>
    </row>
    <row r="8" spans="1:5" ht="15">
      <c r="A8" s="61"/>
      <c r="B8" s="64"/>
      <c r="C8" s="64"/>
      <c r="D8" s="219"/>
      <c r="E8" s="219"/>
    </row>
    <row r="9" spans="1:5" ht="13.5">
      <c r="A9" s="75" t="s">
        <v>694</v>
      </c>
      <c r="B9" s="83">
        <v>182991855.5</v>
      </c>
      <c r="C9" s="83">
        <v>103.31153236892673</v>
      </c>
      <c r="D9" s="120">
        <v>136986591</v>
      </c>
      <c r="E9" s="120">
        <v>104.60428433188386</v>
      </c>
    </row>
    <row r="10" spans="1:5" ht="13.5">
      <c r="A10" s="67" t="s">
        <v>695</v>
      </c>
      <c r="B10" s="64"/>
      <c r="C10" s="64"/>
      <c r="D10" s="219"/>
      <c r="E10" s="219"/>
    </row>
    <row r="11" spans="1:5" ht="15">
      <c r="A11" s="67"/>
      <c r="B11" s="68"/>
      <c r="C11" s="68"/>
      <c r="D11" s="220"/>
      <c r="E11" s="220"/>
    </row>
    <row r="12" spans="1:5" ht="15" customHeight="1">
      <c r="A12" s="69" t="s">
        <v>4</v>
      </c>
      <c r="B12" s="221">
        <v>15235800.2</v>
      </c>
      <c r="C12" s="221">
        <v>103.64453127588213</v>
      </c>
      <c r="D12" s="222">
        <v>11519666.2</v>
      </c>
      <c r="E12" s="222">
        <v>105.12253696211393</v>
      </c>
    </row>
    <row r="13" spans="1:5" ht="15" customHeight="1">
      <c r="A13" s="69" t="s">
        <v>0</v>
      </c>
      <c r="B13" s="221">
        <v>8880487.2</v>
      </c>
      <c r="C13" s="221">
        <v>103.65297878115827</v>
      </c>
      <c r="D13" s="222">
        <v>6444863.5</v>
      </c>
      <c r="E13" s="222">
        <v>105.02573364228664</v>
      </c>
    </row>
    <row r="14" spans="1:5" ht="15" customHeight="1">
      <c r="A14" s="69" t="s">
        <v>5</v>
      </c>
      <c r="B14" s="221">
        <v>7993902.2</v>
      </c>
      <c r="C14" s="221">
        <v>104.21539209774058</v>
      </c>
      <c r="D14" s="222">
        <v>5893043.6</v>
      </c>
      <c r="E14" s="222">
        <v>106.02736554514306</v>
      </c>
    </row>
    <row r="15" spans="1:5" ht="15" customHeight="1">
      <c r="A15" s="69" t="s">
        <v>6</v>
      </c>
      <c r="B15" s="221">
        <v>4567896.4</v>
      </c>
      <c r="C15" s="221">
        <v>104.19498096813156</v>
      </c>
      <c r="D15" s="222">
        <v>3331928.3</v>
      </c>
      <c r="E15" s="222">
        <v>105.87847933242244</v>
      </c>
    </row>
    <row r="16" spans="1:5" ht="15" customHeight="1">
      <c r="A16" s="69" t="s">
        <v>7</v>
      </c>
      <c r="B16" s="221">
        <v>11849605</v>
      </c>
      <c r="C16" s="221">
        <v>103.1928945883842</v>
      </c>
      <c r="D16" s="222">
        <v>9284520</v>
      </c>
      <c r="E16" s="222">
        <v>104.26552844973345</v>
      </c>
    </row>
    <row r="17" spans="1:5" ht="15" customHeight="1">
      <c r="A17" s="69" t="s">
        <v>8</v>
      </c>
      <c r="B17" s="221">
        <v>15162104.6</v>
      </c>
      <c r="C17" s="221">
        <v>103.06180003621479</v>
      </c>
      <c r="D17" s="222">
        <v>11212395.2</v>
      </c>
      <c r="E17" s="222">
        <v>104.44147034583895</v>
      </c>
    </row>
    <row r="18" spans="1:5" ht="15" customHeight="1">
      <c r="A18" s="69" t="s">
        <v>9</v>
      </c>
      <c r="B18" s="221">
        <v>24506801.1</v>
      </c>
      <c r="C18" s="221">
        <v>103.50206144862564</v>
      </c>
      <c r="D18" s="222">
        <v>19605961.5</v>
      </c>
      <c r="E18" s="222">
        <v>104.44451769911076</v>
      </c>
    </row>
    <row r="19" spans="1:5" ht="15" customHeight="1">
      <c r="A19" s="69" t="s">
        <v>10</v>
      </c>
      <c r="B19" s="221">
        <v>4243434</v>
      </c>
      <c r="C19" s="221">
        <v>100.49444224053966</v>
      </c>
      <c r="D19" s="222">
        <v>3267017.4</v>
      </c>
      <c r="E19" s="222">
        <v>101.41538115776201</v>
      </c>
    </row>
    <row r="20" spans="1:5" ht="15" customHeight="1">
      <c r="A20" s="69" t="s">
        <v>11</v>
      </c>
      <c r="B20" s="221">
        <v>8269652.4</v>
      </c>
      <c r="C20" s="221">
        <v>103.6604156641508</v>
      </c>
      <c r="D20" s="222">
        <v>6149537.5</v>
      </c>
      <c r="E20" s="222">
        <v>105.01796676619588</v>
      </c>
    </row>
    <row r="21" spans="1:5" ht="15" customHeight="1">
      <c r="A21" s="69" t="s">
        <v>12</v>
      </c>
      <c r="B21" s="221">
        <v>3972081.4</v>
      </c>
      <c r="C21" s="221">
        <v>104.60757149992989</v>
      </c>
      <c r="D21" s="222">
        <v>3093913.8</v>
      </c>
      <c r="E21" s="222">
        <v>105.77370251640392</v>
      </c>
    </row>
    <row r="22" spans="1:5" ht="15" customHeight="1">
      <c r="A22" s="69" t="s">
        <v>13</v>
      </c>
      <c r="B22" s="221">
        <v>10211158.4</v>
      </c>
      <c r="C22" s="221">
        <v>103.41824246811187</v>
      </c>
      <c r="D22" s="222">
        <v>7606753.6</v>
      </c>
      <c r="E22" s="222">
        <v>104.87364308866647</v>
      </c>
    </row>
    <row r="23" spans="1:5" ht="15" customHeight="1">
      <c r="A23" s="69" t="s">
        <v>14</v>
      </c>
      <c r="B23" s="221">
        <v>33900202.1</v>
      </c>
      <c r="C23" s="221">
        <v>102.55999040697688</v>
      </c>
      <c r="D23" s="222">
        <v>24495335.1</v>
      </c>
      <c r="E23" s="222">
        <v>103.6400598947154</v>
      </c>
    </row>
    <row r="24" spans="1:5" ht="15" customHeight="1">
      <c r="A24" s="69" t="s">
        <v>15</v>
      </c>
      <c r="B24" s="221">
        <v>5337928.7</v>
      </c>
      <c r="C24" s="221">
        <v>103.54104433070684</v>
      </c>
      <c r="D24" s="222">
        <v>4022688.3</v>
      </c>
      <c r="E24" s="222">
        <v>104.74136018613795</v>
      </c>
    </row>
    <row r="25" spans="1:5" ht="15" customHeight="1">
      <c r="A25" s="69" t="s">
        <v>1</v>
      </c>
      <c r="B25" s="221">
        <v>5646340.3</v>
      </c>
      <c r="C25" s="221">
        <v>103.73994122198577</v>
      </c>
      <c r="D25" s="222">
        <v>4124164.5</v>
      </c>
      <c r="E25" s="222">
        <v>105.62671343629614</v>
      </c>
    </row>
    <row r="26" spans="1:5" ht="15" customHeight="1">
      <c r="A26" s="69" t="s">
        <v>2</v>
      </c>
      <c r="B26" s="221">
        <v>15222988.9</v>
      </c>
      <c r="C26" s="221">
        <v>103.72079459139438</v>
      </c>
      <c r="D26" s="222">
        <v>10894406.4</v>
      </c>
      <c r="E26" s="222">
        <v>105.35927575095374</v>
      </c>
    </row>
    <row r="27" spans="1:5" ht="15" customHeight="1">
      <c r="A27" s="69" t="s">
        <v>3</v>
      </c>
      <c r="B27" s="221">
        <v>7991502.5</v>
      </c>
      <c r="C27" s="221">
        <v>103.35789607130441</v>
      </c>
      <c r="D27" s="222">
        <v>6040432.1</v>
      </c>
      <c r="E27" s="222">
        <v>104.69486481211364</v>
      </c>
    </row>
    <row r="28" spans="1:5" ht="9.75" customHeight="1">
      <c r="A28" s="69"/>
      <c r="B28" s="223"/>
      <c r="C28" s="223"/>
      <c r="D28" s="224"/>
      <c r="E28" s="225"/>
    </row>
    <row r="29" spans="1:5" ht="72" customHeight="1">
      <c r="A29" s="609" t="s">
        <v>977</v>
      </c>
      <c r="B29" s="609"/>
      <c r="C29" s="609"/>
      <c r="D29" s="609"/>
      <c r="E29" s="609"/>
    </row>
    <row r="30" spans="1:5" ht="74.25" customHeight="1">
      <c r="A30" s="608" t="s">
        <v>978</v>
      </c>
      <c r="B30" s="608"/>
      <c r="C30" s="608"/>
      <c r="D30" s="608"/>
      <c r="E30" s="608"/>
    </row>
    <row r="31" ht="15">
      <c r="A31" s="113"/>
    </row>
    <row r="32" ht="15">
      <c r="A32" s="113"/>
    </row>
    <row r="33" ht="15">
      <c r="A33" s="113"/>
    </row>
  </sheetData>
  <mergeCells count="7">
    <mergeCell ref="A30:E30"/>
    <mergeCell ref="A29:E29"/>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16">
      <selection activeCell="E31" sqref="E31"/>
    </sheetView>
  </sheetViews>
  <sheetFormatPr defaultColWidth="9.140625" defaultRowHeight="15"/>
  <cols>
    <col min="1" max="1" width="13.140625" style="46" customWidth="1"/>
    <col min="2" max="2" width="14.00390625" style="46" customWidth="1"/>
    <col min="3" max="6" width="14.7109375" style="46" customWidth="1"/>
    <col min="7" max="16384" width="9.140625" style="46" customWidth="1"/>
  </cols>
  <sheetData>
    <row r="1" spans="1:6" ht="15.95" customHeight="1">
      <c r="A1" s="584" t="s">
        <v>584</v>
      </c>
      <c r="B1" s="584"/>
      <c r="C1" s="584"/>
      <c r="D1" s="584"/>
      <c r="E1" s="584"/>
      <c r="F1" s="584"/>
    </row>
    <row r="2" spans="1:9" ht="15.95" customHeight="1">
      <c r="A2" s="579" t="s">
        <v>585</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62" t="s">
        <v>691</v>
      </c>
      <c r="D5" s="50" t="s">
        <v>560</v>
      </c>
      <c r="E5" s="562" t="s">
        <v>691</v>
      </c>
      <c r="F5" s="51" t="s">
        <v>560</v>
      </c>
    </row>
    <row r="6" spans="1:6" ht="28.5" customHeight="1">
      <c r="A6" s="629" t="s">
        <v>696</v>
      </c>
      <c r="B6" s="630"/>
      <c r="C6" s="226">
        <v>17499572.4</v>
      </c>
      <c r="D6" s="60">
        <v>96.5969914126378</v>
      </c>
      <c r="E6" s="226">
        <v>28507296.2</v>
      </c>
      <c r="F6" s="60">
        <v>101.6127881746086</v>
      </c>
    </row>
    <row r="7" spans="1:9" ht="15" customHeight="1">
      <c r="A7" s="61" t="s">
        <v>607</v>
      </c>
      <c r="B7" s="56"/>
      <c r="C7" s="55"/>
      <c r="D7" s="225"/>
      <c r="E7" s="55"/>
      <c r="F7" s="225"/>
      <c r="I7" s="63"/>
    </row>
    <row r="8" spans="1:9" ht="15" customHeight="1">
      <c r="A8" s="61"/>
      <c r="B8" s="56"/>
      <c r="C8" s="227"/>
      <c r="D8" s="60"/>
      <c r="E8" s="227"/>
      <c r="F8" s="60"/>
      <c r="I8" s="63"/>
    </row>
    <row r="9" spans="1:9" ht="15" customHeight="1">
      <c r="A9" s="75" t="s">
        <v>697</v>
      </c>
      <c r="B9" s="56"/>
      <c r="C9" s="226">
        <v>17497998.3</v>
      </c>
      <c r="D9" s="60">
        <v>96.596797019267</v>
      </c>
      <c r="E9" s="226">
        <v>28507296.2</v>
      </c>
      <c r="F9" s="60">
        <v>101.6127881746086</v>
      </c>
      <c r="I9" s="63"/>
    </row>
    <row r="10" spans="1:9" ht="15" customHeight="1">
      <c r="A10" s="67" t="s">
        <v>698</v>
      </c>
      <c r="B10" s="56"/>
      <c r="C10" s="227"/>
      <c r="D10" s="65"/>
      <c r="E10" s="227"/>
      <c r="F10" s="65"/>
      <c r="I10" s="63"/>
    </row>
    <row r="11" spans="1:9" ht="15" customHeight="1">
      <c r="A11" s="67"/>
      <c r="B11" s="56"/>
      <c r="C11" s="227"/>
      <c r="D11" s="65"/>
      <c r="E11" s="227"/>
      <c r="F11" s="65"/>
      <c r="I11" s="63"/>
    </row>
    <row r="12" spans="1:9" ht="15" customHeight="1">
      <c r="A12" s="595" t="s">
        <v>4</v>
      </c>
      <c r="B12" s="596"/>
      <c r="C12" s="228">
        <v>1423783.3</v>
      </c>
      <c r="D12" s="229">
        <v>95.37650312867807</v>
      </c>
      <c r="E12" s="228">
        <v>2292350.7</v>
      </c>
      <c r="F12" s="225">
        <v>101.93085849692505</v>
      </c>
      <c r="H12" s="225"/>
      <c r="I12" s="230"/>
    </row>
    <row r="13" spans="1:9" ht="15" customHeight="1">
      <c r="A13" s="595" t="s">
        <v>0</v>
      </c>
      <c r="B13" s="596" t="s">
        <v>0</v>
      </c>
      <c r="C13" s="228">
        <v>993841.8</v>
      </c>
      <c r="D13" s="229">
        <v>98.56078350246372</v>
      </c>
      <c r="E13" s="228">
        <v>1441781.9</v>
      </c>
      <c r="F13" s="225">
        <v>101.34109593287309</v>
      </c>
      <c r="H13" s="225"/>
      <c r="I13" s="230"/>
    </row>
    <row r="14" spans="1:9" ht="15" customHeight="1">
      <c r="A14" s="595" t="s">
        <v>5</v>
      </c>
      <c r="B14" s="596"/>
      <c r="C14" s="228">
        <v>1014407.2</v>
      </c>
      <c r="D14" s="229">
        <v>96.83741777374037</v>
      </c>
      <c r="E14" s="228">
        <v>1086451.4</v>
      </c>
      <c r="F14" s="225">
        <v>102.01598807115428</v>
      </c>
      <c r="H14" s="225"/>
      <c r="I14" s="230"/>
    </row>
    <row r="15" spans="1:9" ht="15" customHeight="1">
      <c r="A15" s="595" t="s">
        <v>6</v>
      </c>
      <c r="B15" s="596"/>
      <c r="C15" s="228">
        <v>591782.7</v>
      </c>
      <c r="D15" s="229">
        <v>98.55405418233299</v>
      </c>
      <c r="E15" s="228">
        <v>644185.4</v>
      </c>
      <c r="F15" s="225">
        <v>101.19351994917905</v>
      </c>
      <c r="H15" s="225"/>
      <c r="I15" s="230"/>
    </row>
    <row r="16" spans="1:9" ht="15" customHeight="1">
      <c r="A16" s="595" t="s">
        <v>7</v>
      </c>
      <c r="B16" s="596"/>
      <c r="C16" s="228">
        <v>898419.9</v>
      </c>
      <c r="D16" s="229">
        <v>96.240965156379</v>
      </c>
      <c r="E16" s="228">
        <v>1666665.1</v>
      </c>
      <c r="F16" s="225">
        <v>101.3313739069805</v>
      </c>
      <c r="H16" s="225"/>
      <c r="I16" s="230"/>
    </row>
    <row r="17" spans="1:9" ht="15" customHeight="1">
      <c r="A17" s="595" t="s">
        <v>8</v>
      </c>
      <c r="B17" s="596"/>
      <c r="C17" s="228">
        <v>1568590.8</v>
      </c>
      <c r="D17" s="229">
        <v>95.96110634273231</v>
      </c>
      <c r="E17" s="228">
        <v>2381154.6</v>
      </c>
      <c r="F17" s="225">
        <v>101.69467160070901</v>
      </c>
      <c r="H17" s="225"/>
      <c r="I17" s="230"/>
    </row>
    <row r="18" spans="1:9" ht="15" customHeight="1">
      <c r="A18" s="595" t="s">
        <v>9</v>
      </c>
      <c r="B18" s="596"/>
      <c r="C18" s="228">
        <v>1728867.1</v>
      </c>
      <c r="D18" s="229">
        <v>96.33477352539214</v>
      </c>
      <c r="E18" s="228">
        <v>3171972.5</v>
      </c>
      <c r="F18" s="225">
        <v>101.95006582617987</v>
      </c>
      <c r="H18" s="225"/>
      <c r="I18" s="230"/>
    </row>
    <row r="19" spans="1:9" ht="15" customHeight="1">
      <c r="A19" s="595" t="s">
        <v>10</v>
      </c>
      <c r="B19" s="596"/>
      <c r="C19" s="228">
        <v>263322.3</v>
      </c>
      <c r="D19" s="229">
        <v>91.80088460249887</v>
      </c>
      <c r="E19" s="228">
        <v>713094.4</v>
      </c>
      <c r="F19" s="225">
        <v>99.83216975886093</v>
      </c>
      <c r="H19" s="225"/>
      <c r="I19" s="230"/>
    </row>
    <row r="20" spans="1:9" ht="15" customHeight="1">
      <c r="A20" s="595" t="s">
        <v>11</v>
      </c>
      <c r="B20" s="596"/>
      <c r="C20" s="228">
        <v>854679.2</v>
      </c>
      <c r="D20" s="229">
        <v>97.19059246766517</v>
      </c>
      <c r="E20" s="228">
        <v>1265435.8</v>
      </c>
      <c r="F20" s="225">
        <v>101.84162827392578</v>
      </c>
      <c r="H20" s="225"/>
      <c r="I20" s="230"/>
    </row>
    <row r="21" spans="1:9" ht="15" customHeight="1">
      <c r="A21" s="595" t="s">
        <v>12</v>
      </c>
      <c r="B21" s="596"/>
      <c r="C21" s="228">
        <v>359066.6</v>
      </c>
      <c r="D21" s="229">
        <v>98.5368482783811</v>
      </c>
      <c r="E21" s="228">
        <v>519101</v>
      </c>
      <c r="F21" s="225">
        <v>102.24632235991385</v>
      </c>
      <c r="H21" s="225"/>
      <c r="I21" s="230"/>
    </row>
    <row r="22" spans="1:9" ht="15" customHeight="1">
      <c r="A22" s="595" t="s">
        <v>13</v>
      </c>
      <c r="B22" s="596"/>
      <c r="C22" s="228">
        <v>947609</v>
      </c>
      <c r="D22" s="229">
        <v>95.22270153563738</v>
      </c>
      <c r="E22" s="228">
        <v>1656795.8</v>
      </c>
      <c r="F22" s="225">
        <v>101.94118210231208</v>
      </c>
      <c r="H22" s="225"/>
      <c r="I22" s="230"/>
    </row>
    <row r="23" spans="1:9" ht="15" customHeight="1">
      <c r="A23" s="595" t="s">
        <v>14</v>
      </c>
      <c r="B23" s="596"/>
      <c r="C23" s="228">
        <v>3144104</v>
      </c>
      <c r="D23" s="229">
        <v>96.92661541481739</v>
      </c>
      <c r="E23" s="228">
        <v>6260763</v>
      </c>
      <c r="F23" s="225">
        <v>101.3853067162511</v>
      </c>
      <c r="H23" s="225"/>
      <c r="I23" s="230"/>
    </row>
    <row r="24" spans="1:9" ht="15" customHeight="1">
      <c r="A24" s="595" t="s">
        <v>15</v>
      </c>
      <c r="B24" s="596"/>
      <c r="C24" s="228">
        <v>459058.7</v>
      </c>
      <c r="D24" s="229">
        <v>97.71302013822816</v>
      </c>
      <c r="E24" s="228">
        <v>856181.8</v>
      </c>
      <c r="F24" s="225">
        <v>101.32573614794961</v>
      </c>
      <c r="H24" s="225"/>
      <c r="I24" s="230"/>
    </row>
    <row r="25" spans="1:9" ht="15" customHeight="1">
      <c r="A25" s="595" t="s">
        <v>1</v>
      </c>
      <c r="B25" s="596"/>
      <c r="C25" s="228">
        <v>663613.9</v>
      </c>
      <c r="D25" s="229">
        <v>95.57092204709895</v>
      </c>
      <c r="E25" s="228">
        <v>858561.9</v>
      </c>
      <c r="F25" s="229">
        <v>101.73205743554404</v>
      </c>
      <c r="H25" s="229"/>
      <c r="I25" s="230"/>
    </row>
    <row r="26" spans="1:9" ht="15" customHeight="1">
      <c r="A26" s="595" t="s">
        <v>2</v>
      </c>
      <c r="B26" s="596"/>
      <c r="C26" s="228">
        <v>1824787.2</v>
      </c>
      <c r="D26" s="229">
        <v>97.2805087793503</v>
      </c>
      <c r="E26" s="228">
        <v>2503795.3</v>
      </c>
      <c r="F26" s="229">
        <v>101.74521119404231</v>
      </c>
      <c r="H26" s="229"/>
      <c r="I26" s="230"/>
    </row>
    <row r="27" spans="1:9" ht="15" customHeight="1">
      <c r="A27" s="595" t="s">
        <v>3</v>
      </c>
      <c r="B27" s="596"/>
      <c r="C27" s="228">
        <v>762064.9</v>
      </c>
      <c r="D27" s="229">
        <v>96.09868772149997</v>
      </c>
      <c r="E27" s="228">
        <v>1189005.5</v>
      </c>
      <c r="F27" s="225">
        <v>101.68412592421805</v>
      </c>
      <c r="H27" s="225"/>
      <c r="I27" s="230"/>
    </row>
    <row r="28" spans="1:6" ht="9.75" customHeight="1">
      <c r="A28" s="69"/>
      <c r="B28" s="69"/>
      <c r="C28" s="48"/>
      <c r="D28" s="48"/>
      <c r="E28" s="56"/>
      <c r="F28" s="56"/>
    </row>
    <row r="29" spans="1:6" ht="63.75" customHeight="1">
      <c r="A29" s="609" t="s">
        <v>979</v>
      </c>
      <c r="B29" s="609"/>
      <c r="C29" s="609"/>
      <c r="D29" s="609"/>
      <c r="E29" s="609"/>
      <c r="F29" s="609"/>
    </row>
    <row r="30" spans="1:6" ht="60" customHeight="1">
      <c r="A30" s="608" t="s">
        <v>980</v>
      </c>
      <c r="B30" s="608"/>
      <c r="C30" s="608"/>
      <c r="D30" s="608"/>
      <c r="E30" s="608"/>
      <c r="F30" s="608"/>
    </row>
    <row r="31" ht="43.5" customHeight="1">
      <c r="A31" s="113"/>
    </row>
    <row r="32" ht="43.5" customHeight="1">
      <c r="A32" s="113"/>
    </row>
    <row r="33" ht="15" customHeight="1">
      <c r="A33" s="113"/>
    </row>
  </sheetData>
  <mergeCells count="24">
    <mergeCell ref="A1:F1"/>
    <mergeCell ref="A2:F2"/>
    <mergeCell ref="A22:B22"/>
    <mergeCell ref="A16:B16"/>
    <mergeCell ref="A12:B12"/>
    <mergeCell ref="A13:B13"/>
    <mergeCell ref="A14:B14"/>
    <mergeCell ref="A15:B15"/>
    <mergeCell ref="C4:D4"/>
    <mergeCell ref="E4:F4"/>
    <mergeCell ref="A4:B5"/>
    <mergeCell ref="A30:F30"/>
    <mergeCell ref="A6:B6"/>
    <mergeCell ref="A23:B23"/>
    <mergeCell ref="A24:B24"/>
    <mergeCell ref="A25:B25"/>
    <mergeCell ref="A26:B26"/>
    <mergeCell ref="A27:B27"/>
    <mergeCell ref="A29:F29"/>
    <mergeCell ref="A17:B17"/>
    <mergeCell ref="A18:B18"/>
    <mergeCell ref="A19:B19"/>
    <mergeCell ref="A20:B20"/>
    <mergeCell ref="A21:B2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55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10">
      <selection activeCell="E31" sqref="E31"/>
    </sheetView>
  </sheetViews>
  <sheetFormatPr defaultColWidth="9.140625" defaultRowHeight="15"/>
  <cols>
    <col min="1" max="1" width="28.140625" style="46" customWidth="1"/>
    <col min="2" max="5" width="14.7109375" style="46" customWidth="1"/>
    <col min="6" max="16384" width="9.140625" style="46" customWidth="1"/>
  </cols>
  <sheetData>
    <row r="1" spans="1:5" ht="27.95" customHeight="1">
      <c r="A1" s="584" t="s">
        <v>699</v>
      </c>
      <c r="B1" s="584"/>
      <c r="C1" s="584"/>
      <c r="D1" s="584"/>
      <c r="E1" s="584"/>
    </row>
    <row r="2" spans="1:8" ht="27.95" customHeight="1">
      <c r="A2" s="579" t="s">
        <v>700</v>
      </c>
      <c r="B2" s="579"/>
      <c r="C2" s="579"/>
      <c r="D2" s="579"/>
      <c r="E2" s="579"/>
      <c r="F2" s="47"/>
      <c r="G2" s="47"/>
      <c r="H2" s="47"/>
    </row>
    <row r="3" spans="1:8" ht="9.95" customHeight="1">
      <c r="A3" s="97"/>
      <c r="B3" s="97"/>
      <c r="C3" s="97"/>
      <c r="D3" s="97"/>
      <c r="E3" s="97"/>
      <c r="F3" s="47"/>
      <c r="G3" s="47"/>
      <c r="H3" s="47"/>
    </row>
    <row r="4" spans="1:5" ht="46.5" customHeight="1">
      <c r="A4" s="592" t="s">
        <v>602</v>
      </c>
      <c r="B4" s="589" t="s">
        <v>701</v>
      </c>
      <c r="C4" s="590"/>
      <c r="D4" s="589" t="s">
        <v>690</v>
      </c>
      <c r="E4" s="591"/>
    </row>
    <row r="5" spans="1:5" ht="33.75" customHeight="1">
      <c r="A5" s="593"/>
      <c r="B5" s="50" t="s">
        <v>691</v>
      </c>
      <c r="C5" s="50" t="s">
        <v>560</v>
      </c>
      <c r="D5" s="50" t="s">
        <v>691</v>
      </c>
      <c r="E5" s="51" t="s">
        <v>560</v>
      </c>
    </row>
    <row r="6" spans="1:5" ht="15">
      <c r="A6" s="231"/>
      <c r="B6" s="62"/>
      <c r="C6" s="54"/>
      <c r="D6" s="62"/>
      <c r="E6" s="56"/>
    </row>
    <row r="7" spans="1:5" ht="15" customHeight="1">
      <c r="A7" s="232" t="s">
        <v>306</v>
      </c>
      <c r="B7" s="83">
        <v>16924437.9</v>
      </c>
      <c r="C7" s="233">
        <v>99.82850927473926</v>
      </c>
      <c r="D7" s="83">
        <v>13464466.9</v>
      </c>
      <c r="E7" s="60">
        <v>99.23005263948168</v>
      </c>
    </row>
    <row r="8" spans="1:8" ht="15" customHeight="1">
      <c r="A8" s="61" t="s">
        <v>86</v>
      </c>
      <c r="B8" s="62"/>
      <c r="C8" s="54"/>
      <c r="D8" s="62"/>
      <c r="E8" s="56"/>
      <c r="H8" s="63"/>
    </row>
    <row r="9" spans="1:8" ht="15" customHeight="1">
      <c r="A9" s="61"/>
      <c r="B9" s="64"/>
      <c r="C9" s="59"/>
      <c r="D9" s="64"/>
      <c r="E9" s="65"/>
      <c r="H9" s="63"/>
    </row>
    <row r="10" spans="1:5" ht="15" customHeight="1">
      <c r="A10" s="69" t="s">
        <v>4</v>
      </c>
      <c r="B10" s="234">
        <v>691613.9</v>
      </c>
      <c r="C10" s="235">
        <v>98.22137112630921</v>
      </c>
      <c r="D10" s="234">
        <v>550772.5</v>
      </c>
      <c r="E10" s="225">
        <v>97.61447587908812</v>
      </c>
    </row>
    <row r="11" spans="1:5" ht="15" customHeight="1">
      <c r="A11" s="69" t="s">
        <v>0</v>
      </c>
      <c r="B11" s="234">
        <v>1115406.8</v>
      </c>
      <c r="C11" s="235">
        <v>101.0762644492007</v>
      </c>
      <c r="D11" s="234">
        <v>867135.7</v>
      </c>
      <c r="E11" s="225">
        <v>101.07813795880922</v>
      </c>
    </row>
    <row r="12" spans="1:5" ht="15" customHeight="1">
      <c r="A12" s="69" t="s">
        <v>5</v>
      </c>
      <c r="B12" s="234">
        <v>2202560.3</v>
      </c>
      <c r="C12" s="235">
        <v>99.7306643949677</v>
      </c>
      <c r="D12" s="221">
        <v>1753377</v>
      </c>
      <c r="E12" s="225">
        <v>99.25714107152925</v>
      </c>
    </row>
    <row r="13" spans="1:5" ht="15" customHeight="1">
      <c r="A13" s="69" t="s">
        <v>6</v>
      </c>
      <c r="B13" s="234">
        <v>274020.8</v>
      </c>
      <c r="C13" s="235">
        <v>97.40547853563045</v>
      </c>
      <c r="D13" s="234">
        <v>217183.9</v>
      </c>
      <c r="E13" s="225">
        <v>96.44649154320942</v>
      </c>
    </row>
    <row r="14" spans="1:5" ht="15" customHeight="1">
      <c r="A14" s="69" t="s">
        <v>7</v>
      </c>
      <c r="B14" s="234">
        <v>1432038</v>
      </c>
      <c r="C14" s="235">
        <v>100.33885184710027</v>
      </c>
      <c r="D14" s="234">
        <v>1199558.7</v>
      </c>
      <c r="E14" s="225">
        <v>99.92841660155045</v>
      </c>
    </row>
    <row r="15" spans="1:5" ht="15" customHeight="1">
      <c r="A15" s="69" t="s">
        <v>8</v>
      </c>
      <c r="B15" s="234">
        <v>1359652.6</v>
      </c>
      <c r="C15" s="235">
        <v>100.25715895505643</v>
      </c>
      <c r="D15" s="234">
        <v>969533</v>
      </c>
      <c r="E15" s="225">
        <v>98.60216484134287</v>
      </c>
    </row>
    <row r="16" spans="1:5" ht="15" customHeight="1">
      <c r="A16" s="69" t="s">
        <v>9</v>
      </c>
      <c r="B16" s="234">
        <v>2522568.7</v>
      </c>
      <c r="C16" s="235">
        <v>100.30796589773145</v>
      </c>
      <c r="D16" s="234">
        <v>2070176.3</v>
      </c>
      <c r="E16" s="225">
        <v>99.9030299263237</v>
      </c>
    </row>
    <row r="17" spans="1:5" ht="15" customHeight="1">
      <c r="A17" s="69" t="s">
        <v>10</v>
      </c>
      <c r="B17" s="234">
        <v>369086.7</v>
      </c>
      <c r="C17" s="235">
        <v>98.10176477905442</v>
      </c>
      <c r="D17" s="234">
        <v>319148.3</v>
      </c>
      <c r="E17" s="225">
        <v>97.64153815229959</v>
      </c>
    </row>
    <row r="18" spans="1:5" ht="15" customHeight="1">
      <c r="A18" s="69" t="s">
        <v>11</v>
      </c>
      <c r="B18" s="234">
        <v>1002378.5</v>
      </c>
      <c r="C18" s="235">
        <v>98.39895072898656</v>
      </c>
      <c r="D18" s="234">
        <v>786666.6</v>
      </c>
      <c r="E18" s="225">
        <v>97.28454892036402</v>
      </c>
    </row>
    <row r="19" spans="1:5" ht="15" customHeight="1">
      <c r="A19" s="69" t="s">
        <v>12</v>
      </c>
      <c r="B19" s="234">
        <v>1205359.3</v>
      </c>
      <c r="C19" s="235">
        <v>100.26682990730953</v>
      </c>
      <c r="D19" s="234">
        <v>996478.8</v>
      </c>
      <c r="E19" s="225">
        <v>99.72606523514436</v>
      </c>
    </row>
    <row r="20" spans="1:5" ht="15" customHeight="1">
      <c r="A20" s="69" t="s">
        <v>13</v>
      </c>
      <c r="B20" s="234">
        <v>540967.3</v>
      </c>
      <c r="C20" s="235">
        <v>100.574499160775</v>
      </c>
      <c r="D20" s="234">
        <v>402191.3</v>
      </c>
      <c r="E20" s="225">
        <v>100.16369722115685</v>
      </c>
    </row>
    <row r="21" spans="1:5" ht="15" customHeight="1">
      <c r="A21" s="69" t="s">
        <v>14</v>
      </c>
      <c r="B21" s="234">
        <v>600403.7</v>
      </c>
      <c r="C21" s="235">
        <v>96.56141205237893</v>
      </c>
      <c r="D21" s="234">
        <v>512568.5</v>
      </c>
      <c r="E21" s="225">
        <v>95.55334584961483</v>
      </c>
    </row>
    <row r="22" spans="1:5" ht="15" customHeight="1">
      <c r="A22" s="69" t="s">
        <v>15</v>
      </c>
      <c r="B22" s="234">
        <v>914725.9</v>
      </c>
      <c r="C22" s="235">
        <v>100.10155418391746</v>
      </c>
      <c r="D22" s="234">
        <v>742098.5</v>
      </c>
      <c r="E22" s="225">
        <v>99.41435036522557</v>
      </c>
    </row>
    <row r="23" spans="1:5" ht="15" customHeight="1">
      <c r="A23" s="69" t="s">
        <v>1</v>
      </c>
      <c r="B23" s="234">
        <v>629653.2</v>
      </c>
      <c r="C23" s="235">
        <v>99.87195074076804</v>
      </c>
      <c r="D23" s="234">
        <v>480640.7</v>
      </c>
      <c r="E23" s="229">
        <v>99.4434658182205</v>
      </c>
    </row>
    <row r="24" spans="1:5" ht="15" customHeight="1">
      <c r="A24" s="69" t="s">
        <v>2</v>
      </c>
      <c r="B24" s="234">
        <v>1663819.1</v>
      </c>
      <c r="C24" s="235">
        <v>100.83264457876521</v>
      </c>
      <c r="D24" s="234">
        <v>1280087.3</v>
      </c>
      <c r="E24" s="229">
        <v>100.54948904705851</v>
      </c>
    </row>
    <row r="25" spans="1:5" ht="15" customHeight="1">
      <c r="A25" s="69" t="s">
        <v>3</v>
      </c>
      <c r="B25" s="234">
        <v>393526.2</v>
      </c>
      <c r="C25" s="235">
        <v>98.51163461350714</v>
      </c>
      <c r="D25" s="234">
        <v>310192.8</v>
      </c>
      <c r="E25" s="225">
        <v>98.03055767471935</v>
      </c>
    </row>
    <row r="26" spans="1:5" ht="9.75" customHeight="1">
      <c r="A26" s="69"/>
      <c r="B26" s="48"/>
      <c r="C26" s="48"/>
      <c r="D26" s="56"/>
      <c r="E26" s="56"/>
    </row>
    <row r="27" spans="1:5" ht="96.75" customHeight="1">
      <c r="A27" s="631" t="s">
        <v>981</v>
      </c>
      <c r="B27" s="631"/>
      <c r="C27" s="631"/>
      <c r="D27" s="631"/>
      <c r="E27" s="631"/>
    </row>
    <row r="28" spans="1:5" ht="97.5" customHeight="1">
      <c r="A28" s="632" t="s">
        <v>982</v>
      </c>
      <c r="B28" s="632"/>
      <c r="C28" s="632"/>
      <c r="D28" s="632"/>
      <c r="E28" s="632"/>
    </row>
    <row r="29" ht="15">
      <c r="A29" s="113"/>
    </row>
    <row r="30" ht="15">
      <c r="A30" s="113"/>
    </row>
    <row r="31" ht="15">
      <c r="A31" s="113"/>
    </row>
    <row r="32" ht="15">
      <c r="A32" s="113"/>
    </row>
    <row r="33" ht="15">
      <c r="A33" s="113"/>
    </row>
  </sheetData>
  <mergeCells count="7">
    <mergeCell ref="A27:E27"/>
    <mergeCell ref="A28:E28"/>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Layout" workbookViewId="0" topLeftCell="A19">
      <selection activeCell="E31" sqref="E31"/>
    </sheetView>
  </sheetViews>
  <sheetFormatPr defaultColWidth="9.140625" defaultRowHeight="15"/>
  <cols>
    <col min="1" max="1" width="27.57421875" style="46" customWidth="1"/>
    <col min="2" max="5" width="14.7109375" style="46" customWidth="1"/>
    <col min="6" max="16384" width="9.140625" style="46" customWidth="1"/>
  </cols>
  <sheetData>
    <row r="1" spans="1:5" ht="27.95" customHeight="1">
      <c r="A1" s="584" t="s">
        <v>702</v>
      </c>
      <c r="B1" s="584"/>
      <c r="C1" s="584"/>
      <c r="D1" s="584"/>
      <c r="E1" s="584"/>
    </row>
    <row r="2" spans="1:8" ht="27.95" customHeight="1">
      <c r="A2" s="633" t="s">
        <v>703</v>
      </c>
      <c r="B2" s="633"/>
      <c r="C2" s="633"/>
      <c r="D2" s="633"/>
      <c r="E2" s="633"/>
      <c r="F2" s="47"/>
      <c r="G2" s="47"/>
      <c r="H2" s="47"/>
    </row>
    <row r="3" spans="1:8" ht="9.95" customHeight="1">
      <c r="A3" s="236"/>
      <c r="B3" s="236"/>
      <c r="C3" s="236"/>
      <c r="D3" s="236"/>
      <c r="E3" s="236"/>
      <c r="F3" s="47"/>
      <c r="G3" s="47"/>
      <c r="H3" s="47"/>
    </row>
    <row r="4" spans="1:5" ht="46.5" customHeight="1">
      <c r="A4" s="592" t="s">
        <v>602</v>
      </c>
      <c r="B4" s="589" t="s">
        <v>613</v>
      </c>
      <c r="C4" s="590"/>
      <c r="D4" s="589" t="s">
        <v>704</v>
      </c>
      <c r="E4" s="591"/>
    </row>
    <row r="5" spans="1:5" ht="33.75" customHeight="1">
      <c r="A5" s="593"/>
      <c r="B5" s="50" t="s">
        <v>691</v>
      </c>
      <c r="C5" s="50" t="s">
        <v>560</v>
      </c>
      <c r="D5" s="50" t="s">
        <v>691</v>
      </c>
      <c r="E5" s="51" t="s">
        <v>560</v>
      </c>
    </row>
    <row r="6" spans="1:5" ht="15">
      <c r="A6" s="231"/>
      <c r="B6" s="184"/>
      <c r="C6" s="62"/>
      <c r="D6" s="62"/>
      <c r="E6" s="56"/>
    </row>
    <row r="7" spans="1:5" ht="15" customHeight="1">
      <c r="A7" s="124" t="s">
        <v>304</v>
      </c>
      <c r="B7" s="84">
        <v>2713987</v>
      </c>
      <c r="C7" s="100">
        <v>100.66909660922676</v>
      </c>
      <c r="D7" s="83">
        <v>745217</v>
      </c>
      <c r="E7" s="60">
        <v>108.388909501834</v>
      </c>
    </row>
    <row r="8" spans="1:8" ht="15" customHeight="1">
      <c r="A8" s="61" t="s">
        <v>86</v>
      </c>
      <c r="B8" s="184"/>
      <c r="C8" s="62"/>
      <c r="D8" s="62"/>
      <c r="E8" s="56"/>
      <c r="H8" s="63"/>
    </row>
    <row r="9" spans="1:8" ht="15" customHeight="1">
      <c r="A9" s="61"/>
      <c r="B9" s="76"/>
      <c r="C9" s="64"/>
      <c r="D9" s="64"/>
      <c r="E9" s="65"/>
      <c r="H9" s="63"/>
    </row>
    <row r="10" spans="1:5" ht="15" customHeight="1">
      <c r="A10" s="69" t="s">
        <v>4</v>
      </c>
      <c r="B10" s="94">
        <v>112376.8</v>
      </c>
      <c r="C10" s="174">
        <v>98.98083303753329</v>
      </c>
      <c r="D10" s="234">
        <v>28399</v>
      </c>
      <c r="E10" s="225">
        <v>107.95348713445622</v>
      </c>
    </row>
    <row r="11" spans="1:5" ht="15" customHeight="1">
      <c r="A11" s="69" t="s">
        <v>0</v>
      </c>
      <c r="B11" s="94">
        <v>198089.9</v>
      </c>
      <c r="C11" s="174">
        <v>99.82669283156397</v>
      </c>
      <c r="D11" s="234">
        <v>50165.2</v>
      </c>
      <c r="E11" s="225">
        <v>106.31869412806935</v>
      </c>
    </row>
    <row r="12" spans="1:5" ht="15" customHeight="1">
      <c r="A12" s="69" t="s">
        <v>5</v>
      </c>
      <c r="B12" s="94">
        <v>357146.5</v>
      </c>
      <c r="C12" s="174">
        <v>99.98891334237251</v>
      </c>
      <c r="D12" s="234">
        <v>91997.7</v>
      </c>
      <c r="E12" s="225">
        <v>108.51242262399032</v>
      </c>
    </row>
    <row r="13" spans="1:5" ht="15" customHeight="1">
      <c r="A13" s="69" t="s">
        <v>6</v>
      </c>
      <c r="B13" s="94">
        <v>46110.7</v>
      </c>
      <c r="C13" s="174">
        <v>99.89882445718345</v>
      </c>
      <c r="D13" s="234">
        <v>10692.3</v>
      </c>
      <c r="E13" s="225">
        <v>107.56624615198889</v>
      </c>
    </row>
    <row r="14" spans="1:5" ht="15" customHeight="1">
      <c r="A14" s="69" t="s">
        <v>7</v>
      </c>
      <c r="B14" s="94">
        <v>165581.5</v>
      </c>
      <c r="C14" s="174">
        <v>100.4888454629315</v>
      </c>
      <c r="D14" s="234">
        <v>66869.7</v>
      </c>
      <c r="E14" s="225">
        <v>107.88776524343022</v>
      </c>
    </row>
    <row r="15" spans="1:5" ht="15" customHeight="1">
      <c r="A15" s="69" t="s">
        <v>8</v>
      </c>
      <c r="B15" s="94">
        <v>334121.3</v>
      </c>
      <c r="C15" s="174">
        <v>103.6962678240845</v>
      </c>
      <c r="D15" s="234">
        <v>55882.1</v>
      </c>
      <c r="E15" s="225">
        <v>110.5319893823654</v>
      </c>
    </row>
    <row r="16" spans="1:5" ht="15" customHeight="1">
      <c r="A16" s="69" t="s">
        <v>9</v>
      </c>
      <c r="B16" s="94">
        <v>335025.2</v>
      </c>
      <c r="C16" s="174">
        <v>100.36524208672104</v>
      </c>
      <c r="D16" s="234">
        <v>117358.5</v>
      </c>
      <c r="E16" s="225">
        <v>108.09517581348737</v>
      </c>
    </row>
    <row r="17" spans="1:5" ht="15" customHeight="1">
      <c r="A17" s="69" t="s">
        <v>10</v>
      </c>
      <c r="B17" s="94">
        <v>36117.5</v>
      </c>
      <c r="C17" s="174">
        <v>98.93660442067952</v>
      </c>
      <c r="D17" s="234">
        <v>13804.4</v>
      </c>
      <c r="E17" s="225">
        <v>107.43058149670028</v>
      </c>
    </row>
    <row r="18" spans="1:5" ht="15" customHeight="1">
      <c r="A18" s="69" t="s">
        <v>11</v>
      </c>
      <c r="B18" s="94">
        <v>175833.8</v>
      </c>
      <c r="C18" s="174">
        <v>101.30793478129354</v>
      </c>
      <c r="D18" s="234">
        <v>39852</v>
      </c>
      <c r="E18" s="225">
        <v>109.25929479886058</v>
      </c>
    </row>
    <row r="19" spans="1:5" ht="15" customHeight="1">
      <c r="A19" s="69" t="s">
        <v>12</v>
      </c>
      <c r="B19" s="94">
        <v>155118.9</v>
      </c>
      <c r="C19" s="174">
        <v>100.94082829070278</v>
      </c>
      <c r="D19" s="234">
        <v>53730.1</v>
      </c>
      <c r="E19" s="225">
        <v>109.13565050657697</v>
      </c>
    </row>
    <row r="20" spans="1:5" ht="15" customHeight="1">
      <c r="A20" s="69" t="s">
        <v>13</v>
      </c>
      <c r="B20" s="94">
        <v>110127.1</v>
      </c>
      <c r="C20" s="174">
        <v>100.13256799110395</v>
      </c>
      <c r="D20" s="234">
        <v>28648.9</v>
      </c>
      <c r="E20" s="225">
        <v>108.67581121167751</v>
      </c>
    </row>
    <row r="21" spans="1:5" ht="15" customHeight="1">
      <c r="A21" s="69" t="s">
        <v>14</v>
      </c>
      <c r="B21" s="94">
        <v>70475.4</v>
      </c>
      <c r="C21" s="174">
        <v>101.56288504688655</v>
      </c>
      <c r="D21" s="234">
        <v>17037.5</v>
      </c>
      <c r="E21" s="225">
        <v>109.20354322633577</v>
      </c>
    </row>
    <row r="22" spans="1:5" ht="15" customHeight="1">
      <c r="A22" s="69" t="s">
        <v>15</v>
      </c>
      <c r="B22" s="94">
        <v>132459.1</v>
      </c>
      <c r="C22" s="174">
        <v>101.62769607542259</v>
      </c>
      <c r="D22" s="234">
        <v>40159.5</v>
      </c>
      <c r="E22" s="225">
        <v>108.59231137394238</v>
      </c>
    </row>
    <row r="23" spans="1:5" ht="15" customHeight="1">
      <c r="A23" s="69" t="s">
        <v>1</v>
      </c>
      <c r="B23" s="94">
        <v>113313.1</v>
      </c>
      <c r="C23" s="174">
        <v>99.07147622166013</v>
      </c>
      <c r="D23" s="234">
        <v>35699.4</v>
      </c>
      <c r="E23" s="229">
        <v>108.9898274451378</v>
      </c>
    </row>
    <row r="24" spans="1:5" ht="15" customHeight="1">
      <c r="A24" s="69" t="s">
        <v>2</v>
      </c>
      <c r="B24" s="94">
        <v>307612.4</v>
      </c>
      <c r="C24" s="174">
        <v>100.36486836125069</v>
      </c>
      <c r="D24" s="234">
        <v>76075.8</v>
      </c>
      <c r="E24" s="229">
        <v>107.98644133236056</v>
      </c>
    </row>
    <row r="25" spans="1:5" ht="15" customHeight="1">
      <c r="A25" s="69" t="s">
        <v>3</v>
      </c>
      <c r="B25" s="94">
        <v>64477.8</v>
      </c>
      <c r="C25" s="174">
        <v>98.40588624025713</v>
      </c>
      <c r="D25" s="234">
        <v>18844.9</v>
      </c>
      <c r="E25" s="225">
        <v>107.59660622116658</v>
      </c>
    </row>
    <row r="26" spans="1:5" ht="7.5" customHeight="1">
      <c r="A26" s="69"/>
      <c r="B26" s="48"/>
      <c r="C26" s="48"/>
      <c r="D26" s="56"/>
      <c r="E26" s="56"/>
    </row>
    <row r="27" spans="1:5" ht="54.75" customHeight="1">
      <c r="A27" s="631" t="s">
        <v>983</v>
      </c>
      <c r="B27" s="631"/>
      <c r="C27" s="631"/>
      <c r="D27" s="631"/>
      <c r="E27" s="631"/>
    </row>
    <row r="28" spans="1:5" ht="57.75" customHeight="1">
      <c r="A28" s="632" t="s">
        <v>984</v>
      </c>
      <c r="B28" s="632"/>
      <c r="C28" s="632"/>
      <c r="D28" s="632"/>
      <c r="E28" s="632"/>
    </row>
    <row r="29" ht="15">
      <c r="A29" s="113"/>
    </row>
    <row r="30" ht="15">
      <c r="A30" s="113"/>
    </row>
  </sheetData>
  <mergeCells count="7">
    <mergeCell ref="A28:E28"/>
    <mergeCell ref="A27:E27"/>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57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view="pageLayout" workbookViewId="0" topLeftCell="A22">
      <selection activeCell="E31" sqref="E31"/>
    </sheetView>
  </sheetViews>
  <sheetFormatPr defaultColWidth="9.140625" defaultRowHeight="15"/>
  <cols>
    <col min="1" max="1" width="25.7109375" style="96" customWidth="1"/>
    <col min="2" max="2" width="6.28125" style="96" customWidth="1"/>
    <col min="3" max="6" width="13.7109375" style="96" customWidth="1"/>
    <col min="7" max="11" width="6.28125" style="96" customWidth="1"/>
    <col min="12" max="16384" width="9.140625" style="96" customWidth="1"/>
  </cols>
  <sheetData>
    <row r="1" spans="1:6" ht="39.95" customHeight="1">
      <c r="A1" s="584" t="s">
        <v>705</v>
      </c>
      <c r="B1" s="584"/>
      <c r="C1" s="584"/>
      <c r="D1" s="584"/>
      <c r="E1" s="584"/>
      <c r="F1" s="584"/>
    </row>
    <row r="2" spans="1:6" ht="39.95" customHeight="1">
      <c r="A2" s="579" t="s">
        <v>706</v>
      </c>
      <c r="B2" s="579"/>
      <c r="C2" s="579"/>
      <c r="D2" s="579"/>
      <c r="E2" s="579"/>
      <c r="F2" s="579"/>
    </row>
    <row r="3" spans="1:6" ht="9.95" customHeight="1">
      <c r="A3" s="97"/>
      <c r="B3" s="97"/>
      <c r="C3" s="97"/>
      <c r="D3" s="97"/>
      <c r="E3" s="97"/>
      <c r="F3" s="97"/>
    </row>
    <row r="4" spans="1:6" ht="75.75" customHeight="1">
      <c r="A4" s="624" t="s">
        <v>602</v>
      </c>
      <c r="B4" s="625"/>
      <c r="C4" s="98" t="s">
        <v>636</v>
      </c>
      <c r="D4" s="98" t="s">
        <v>637</v>
      </c>
      <c r="E4" s="98" t="s">
        <v>638</v>
      </c>
      <c r="F4" s="99" t="s">
        <v>707</v>
      </c>
    </row>
    <row r="5" spans="1:6" ht="12.75" customHeight="1" hidden="1">
      <c r="A5" s="175"/>
      <c r="B5" s="237"/>
      <c r="C5" s="238"/>
      <c r="D5" s="239"/>
      <c r="E5" s="239"/>
      <c r="F5" s="240"/>
    </row>
    <row r="6" spans="1:6" ht="21" customHeight="1">
      <c r="A6" s="612" t="s">
        <v>708</v>
      </c>
      <c r="B6" s="612"/>
      <c r="C6" s="612"/>
      <c r="D6" s="612"/>
      <c r="E6" s="612"/>
      <c r="F6" s="612"/>
    </row>
    <row r="7" spans="1:6" ht="23.25" customHeight="1">
      <c r="A7" s="124" t="s">
        <v>559</v>
      </c>
      <c r="B7" s="65">
        <v>2017</v>
      </c>
      <c r="C7" s="58">
        <f>D7+E7+F7</f>
        <v>16097030490.9</v>
      </c>
      <c r="D7" s="58">
        <v>6438925758</v>
      </c>
      <c r="E7" s="58">
        <v>1367820344.9</v>
      </c>
      <c r="F7" s="142">
        <v>8290284388</v>
      </c>
    </row>
    <row r="8" spans="1:6" ht="15" customHeight="1">
      <c r="A8" s="241" t="s">
        <v>558</v>
      </c>
      <c r="B8" s="242"/>
      <c r="C8" s="243"/>
      <c r="D8" s="243"/>
      <c r="E8" s="243"/>
      <c r="F8" s="244"/>
    </row>
    <row r="9" spans="1:6" ht="15" customHeight="1">
      <c r="A9" s="125" t="s">
        <v>324</v>
      </c>
      <c r="B9" s="54">
        <v>2016</v>
      </c>
      <c r="C9" s="144">
        <v>16013430305</v>
      </c>
      <c r="D9" s="144">
        <v>6389773210</v>
      </c>
      <c r="E9" s="144">
        <v>1341721979</v>
      </c>
      <c r="F9" s="145">
        <v>8281935116</v>
      </c>
    </row>
    <row r="10" spans="1:6" ht="14.1" customHeight="1">
      <c r="A10" s="102"/>
      <c r="B10" s="102"/>
      <c r="C10" s="144"/>
      <c r="D10" s="103"/>
      <c r="E10" s="103"/>
      <c r="F10" s="104"/>
    </row>
    <row r="11" spans="1:6" ht="15" customHeight="1">
      <c r="A11" s="611" t="s">
        <v>87</v>
      </c>
      <c r="B11" s="611"/>
      <c r="C11" s="144">
        <f aca="true" t="shared" si="0" ref="C11:C15">D11+E11+F11</f>
        <v>12187074748.9</v>
      </c>
      <c r="D11" s="146">
        <v>4568225104</v>
      </c>
      <c r="E11" s="146">
        <v>1094939971.9</v>
      </c>
      <c r="F11" s="147">
        <v>6523909673</v>
      </c>
    </row>
    <row r="12" spans="1:6" ht="15" customHeight="1">
      <c r="A12" s="585" t="s">
        <v>88</v>
      </c>
      <c r="B12" s="634"/>
      <c r="C12" s="143"/>
      <c r="D12" s="148"/>
      <c r="E12" s="148"/>
      <c r="F12" s="149"/>
    </row>
    <row r="13" spans="1:6" ht="15" customHeight="1">
      <c r="A13" s="611" t="s">
        <v>89</v>
      </c>
      <c r="B13" s="615"/>
      <c r="C13" s="143">
        <f t="shared" si="0"/>
        <v>1106728760.2</v>
      </c>
      <c r="D13" s="146">
        <v>506481307.83</v>
      </c>
      <c r="E13" s="146">
        <v>75589773.37</v>
      </c>
      <c r="F13" s="147">
        <v>524657679</v>
      </c>
    </row>
    <row r="14" spans="1:6" ht="15" customHeight="1">
      <c r="A14" s="585" t="s">
        <v>90</v>
      </c>
      <c r="B14" s="594"/>
      <c r="C14" s="144"/>
      <c r="D14" s="148"/>
      <c r="E14" s="148"/>
      <c r="F14" s="149"/>
    </row>
    <row r="15" spans="1:6" ht="15" customHeight="1">
      <c r="A15" s="611" t="s">
        <v>91</v>
      </c>
      <c r="B15" s="611"/>
      <c r="C15" s="144">
        <f t="shared" si="0"/>
        <v>2803226981.63</v>
      </c>
      <c r="D15" s="146">
        <v>1364219346</v>
      </c>
      <c r="E15" s="146">
        <v>197290599.63</v>
      </c>
      <c r="F15" s="147">
        <v>1241717036</v>
      </c>
    </row>
    <row r="16" spans="1:6" ht="15" customHeight="1">
      <c r="A16" s="585" t="s">
        <v>92</v>
      </c>
      <c r="B16" s="634"/>
      <c r="C16" s="150"/>
      <c r="D16" s="150"/>
      <c r="E16" s="150"/>
      <c r="F16" s="150"/>
    </row>
    <row r="17" spans="1:6" s="107" customFormat="1" ht="23.25" customHeight="1">
      <c r="A17" s="610" t="s">
        <v>560</v>
      </c>
      <c r="B17" s="610"/>
      <c r="C17" s="610"/>
      <c r="D17" s="610"/>
      <c r="E17" s="610"/>
      <c r="F17" s="610"/>
    </row>
    <row r="18" spans="1:6" ht="15">
      <c r="A18" s="124" t="s">
        <v>307</v>
      </c>
      <c r="B18" s="65">
        <v>2017</v>
      </c>
      <c r="C18" s="100">
        <f>C7/C9*100</f>
        <v>100.52206294533843</v>
      </c>
      <c r="D18" s="100">
        <f>D7/D9*100</f>
        <v>100.76923775515345</v>
      </c>
      <c r="E18" s="100">
        <f>E7/E9*100</f>
        <v>101.9451396271716</v>
      </c>
      <c r="F18" s="109">
        <f>F7/F9*100</f>
        <v>100.10081305737195</v>
      </c>
    </row>
    <row r="19" spans="1:6" ht="24">
      <c r="A19" s="245" t="s">
        <v>709</v>
      </c>
      <c r="B19" s="54"/>
      <c r="C19" s="64"/>
      <c r="D19" s="64"/>
      <c r="E19" s="64"/>
      <c r="F19" s="76"/>
    </row>
    <row r="20" spans="1:6" ht="15">
      <c r="A20" s="102"/>
      <c r="B20" s="102"/>
      <c r="C20" s="64"/>
      <c r="D20" s="64"/>
      <c r="E20" s="64"/>
      <c r="F20" s="76"/>
    </row>
    <row r="21" spans="1:6" ht="15" customHeight="1">
      <c r="A21" s="611" t="s">
        <v>87</v>
      </c>
      <c r="B21" s="615"/>
      <c r="C21" s="105">
        <f>C11/11993284496*100</f>
        <v>101.61582302966825</v>
      </c>
      <c r="D21" s="105">
        <f>D11/4511450727*100</f>
        <v>101.25845056137305</v>
      </c>
      <c r="E21" s="110">
        <f>E11/1067087295*100</f>
        <v>102.61015917165427</v>
      </c>
      <c r="F21" s="106">
        <f>F11/6414746474*100</f>
        <v>101.70175391096836</v>
      </c>
    </row>
    <row r="22" spans="1:6" ht="15" customHeight="1">
      <c r="A22" s="585" t="s">
        <v>88</v>
      </c>
      <c r="B22" s="634"/>
      <c r="C22" s="148"/>
      <c r="D22" s="148"/>
      <c r="E22" s="148"/>
      <c r="F22" s="149"/>
    </row>
    <row r="23" spans="1:6" ht="15" customHeight="1">
      <c r="A23" s="611" t="s">
        <v>89</v>
      </c>
      <c r="B23" s="615"/>
      <c r="C23" s="110">
        <f>C13/1180635852*100</f>
        <v>93.74006035181795</v>
      </c>
      <c r="D23" s="105">
        <f>D13/528131994*100</f>
        <v>95.90051608007674</v>
      </c>
      <c r="E23" s="105">
        <f>E13/74982565*100</f>
        <v>100.80979941136982</v>
      </c>
      <c r="F23" s="106">
        <f>F13/577521293*100</f>
        <v>90.8464649458388</v>
      </c>
    </row>
    <row r="24" spans="1:6" ht="15" customHeight="1">
      <c r="A24" s="585" t="s">
        <v>90</v>
      </c>
      <c r="B24" s="634"/>
      <c r="C24" s="148"/>
      <c r="D24" s="148"/>
      <c r="E24" s="148"/>
      <c r="F24" s="149"/>
    </row>
    <row r="25" spans="1:6" ht="15" customHeight="1">
      <c r="A25" s="611" t="s">
        <v>91</v>
      </c>
      <c r="B25" s="611"/>
      <c r="C25" s="105">
        <f>C15/2839509957*100</f>
        <v>98.72220996159726</v>
      </c>
      <c r="D25" s="105">
        <f>D15/1350190489*100</f>
        <v>101.03902798266564</v>
      </c>
      <c r="E25" s="105">
        <f>E15/199652119*100</f>
        <v>98.81718291705182</v>
      </c>
      <c r="F25" s="106">
        <f>F15/1289667349*100</f>
        <v>96.28196270633816</v>
      </c>
    </row>
    <row r="26" spans="1:6" ht="15" customHeight="1">
      <c r="A26" s="585" t="s">
        <v>92</v>
      </c>
      <c r="B26" s="634"/>
      <c r="C26" s="148"/>
      <c r="D26" s="148"/>
      <c r="E26" s="148"/>
      <c r="F26" s="149"/>
    </row>
    <row r="27" ht="10.5" customHeight="1"/>
    <row r="28" spans="1:6" ht="50.25" customHeight="1">
      <c r="A28" s="609" t="s">
        <v>985</v>
      </c>
      <c r="B28" s="609"/>
      <c r="C28" s="609"/>
      <c r="D28" s="609"/>
      <c r="E28" s="609"/>
      <c r="F28" s="609"/>
    </row>
    <row r="29" spans="1:6" ht="40.5" customHeight="1">
      <c r="A29" s="608" t="s">
        <v>986</v>
      </c>
      <c r="B29" s="608"/>
      <c r="C29" s="608"/>
      <c r="D29" s="608"/>
      <c r="E29" s="608"/>
      <c r="F29" s="608"/>
    </row>
    <row r="30" ht="15">
      <c r="A30" s="113"/>
    </row>
    <row r="31" ht="15">
      <c r="A31" s="113"/>
    </row>
  </sheetData>
  <mergeCells count="19">
    <mergeCell ref="A1:F1"/>
    <mergeCell ref="A2:F2"/>
    <mergeCell ref="A4:B4"/>
    <mergeCell ref="A28:F28"/>
    <mergeCell ref="A29:F29"/>
    <mergeCell ref="A6:F6"/>
    <mergeCell ref="A17:F17"/>
    <mergeCell ref="A16:B16"/>
    <mergeCell ref="A21:B21"/>
    <mergeCell ref="A22:B22"/>
    <mergeCell ref="A23:B23"/>
    <mergeCell ref="A24:B24"/>
    <mergeCell ref="A25:B25"/>
    <mergeCell ref="A26:B26"/>
    <mergeCell ref="A11:B11"/>
    <mergeCell ref="A12:B12"/>
    <mergeCell ref="A13:B13"/>
    <mergeCell ref="A14:B14"/>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58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workbookViewId="0" topLeftCell="A22">
      <selection activeCell="E31" sqref="E31"/>
    </sheetView>
  </sheetViews>
  <sheetFormatPr defaultColWidth="9.140625" defaultRowHeight="15"/>
  <cols>
    <col min="1" max="1" width="7.00390625" style="4" customWidth="1"/>
    <col min="2" max="2" width="3.28125" style="4" customWidth="1"/>
    <col min="3" max="3" width="7.140625" style="4" customWidth="1"/>
    <col min="4" max="11" width="8.7109375" style="4" customWidth="1"/>
    <col min="12" max="16384" width="9.140625" style="4" customWidth="1"/>
  </cols>
  <sheetData>
    <row r="1" spans="1:11" ht="27.95" customHeight="1">
      <c r="A1" s="584" t="s">
        <v>710</v>
      </c>
      <c r="B1" s="584"/>
      <c r="C1" s="584"/>
      <c r="D1" s="584"/>
      <c r="E1" s="584"/>
      <c r="F1" s="584"/>
      <c r="G1" s="584"/>
      <c r="H1" s="584"/>
      <c r="I1" s="584"/>
      <c r="J1" s="584"/>
      <c r="K1" s="584"/>
    </row>
    <row r="2" spans="1:11" ht="9.95" customHeight="1">
      <c r="A2" s="247"/>
      <c r="B2" s="247"/>
      <c r="C2" s="247"/>
      <c r="D2" s="247"/>
      <c r="E2" s="247"/>
      <c r="F2" s="247"/>
      <c r="G2" s="247"/>
      <c r="H2" s="247"/>
      <c r="I2" s="247"/>
      <c r="J2" s="247"/>
      <c r="K2" s="247"/>
    </row>
    <row r="3" spans="1:11" ht="27.95" customHeight="1">
      <c r="A3" s="579" t="s">
        <v>711</v>
      </c>
      <c r="B3" s="579"/>
      <c r="C3" s="579"/>
      <c r="D3" s="579"/>
      <c r="E3" s="579"/>
      <c r="F3" s="579"/>
      <c r="G3" s="579"/>
      <c r="H3" s="579"/>
      <c r="I3" s="579"/>
      <c r="J3" s="579"/>
      <c r="K3" s="579"/>
    </row>
    <row r="4" spans="1:11" ht="33.75" customHeight="1">
      <c r="A4" s="641" t="s">
        <v>712</v>
      </c>
      <c r="B4" s="641"/>
      <c r="C4" s="580"/>
      <c r="D4" s="27">
        <v>2000</v>
      </c>
      <c r="E4" s="27">
        <v>2005</v>
      </c>
      <c r="F4" s="27">
        <v>2006</v>
      </c>
      <c r="G4" s="27">
        <v>2007</v>
      </c>
      <c r="H4" s="27">
        <v>2008</v>
      </c>
      <c r="I4" s="27">
        <v>2009</v>
      </c>
      <c r="J4" s="27">
        <v>2010</v>
      </c>
      <c r="K4" s="248">
        <v>2011</v>
      </c>
    </row>
    <row r="5" spans="1:11" ht="33.75" customHeight="1">
      <c r="A5" s="642"/>
      <c r="B5" s="642"/>
      <c r="C5" s="643"/>
      <c r="D5" s="639" t="s">
        <v>714</v>
      </c>
      <c r="E5" s="640"/>
      <c r="F5" s="640"/>
      <c r="G5" s="640"/>
      <c r="H5" s="640"/>
      <c r="I5" s="640"/>
      <c r="J5" s="640"/>
      <c r="K5" s="640"/>
    </row>
    <row r="6" spans="1:11" ht="36.75" customHeight="1">
      <c r="A6" s="635" t="s">
        <v>713</v>
      </c>
      <c r="B6" s="635"/>
      <c r="C6" s="636"/>
      <c r="D6" s="249">
        <v>3365.7</v>
      </c>
      <c r="E6" s="249">
        <v>3913.1</v>
      </c>
      <c r="F6" s="249">
        <v>4344.2</v>
      </c>
      <c r="G6" s="249">
        <v>4509.5</v>
      </c>
      <c r="H6" s="249">
        <v>4670.8</v>
      </c>
      <c r="I6" s="249">
        <v>4952.5</v>
      </c>
      <c r="J6" s="249">
        <v>5000.5</v>
      </c>
      <c r="K6" s="250">
        <v>4979.1</v>
      </c>
    </row>
    <row r="7" spans="1:11" ht="16.5" customHeight="1">
      <c r="A7" s="204"/>
      <c r="B7" s="204"/>
      <c r="C7" s="251"/>
      <c r="D7" s="252"/>
      <c r="E7" s="252"/>
      <c r="F7" s="252"/>
      <c r="G7" s="252"/>
      <c r="H7" s="252"/>
      <c r="I7" s="252"/>
      <c r="J7" s="252"/>
      <c r="K7" s="253"/>
    </row>
    <row r="8" spans="1:11" ht="15" customHeight="1">
      <c r="A8" s="637" t="s">
        <v>93</v>
      </c>
      <c r="B8" s="637"/>
      <c r="C8" s="638"/>
      <c r="D8" s="254">
        <v>202</v>
      </c>
      <c r="E8" s="255">
        <v>11.7</v>
      </c>
      <c r="F8" s="254">
        <v>13</v>
      </c>
      <c r="G8" s="255">
        <v>13.8</v>
      </c>
      <c r="H8" s="255">
        <v>8.2</v>
      </c>
      <c r="I8" s="255">
        <v>4.9</v>
      </c>
      <c r="J8" s="255">
        <v>3.7</v>
      </c>
      <c r="K8" s="256" t="s">
        <v>238</v>
      </c>
    </row>
    <row r="9" spans="1:11" ht="15">
      <c r="A9" s="29"/>
      <c r="B9" s="29"/>
      <c r="C9" s="29"/>
      <c r="D9" s="254"/>
      <c r="E9" s="255"/>
      <c r="F9" s="254"/>
      <c r="G9" s="255"/>
      <c r="H9" s="255"/>
      <c r="I9" s="255"/>
      <c r="J9" s="255"/>
      <c r="K9" s="256"/>
    </row>
    <row r="10" spans="1:11" ht="15">
      <c r="A10" s="257">
        <v>500.01</v>
      </c>
      <c r="B10" s="29" t="s">
        <v>94</v>
      </c>
      <c r="C10" s="258">
        <v>600</v>
      </c>
      <c r="D10" s="255">
        <v>263.4</v>
      </c>
      <c r="E10" s="254">
        <v>179</v>
      </c>
      <c r="F10" s="255">
        <v>208.3</v>
      </c>
      <c r="G10" s="255">
        <v>198.4</v>
      </c>
      <c r="H10" s="255">
        <v>10.8</v>
      </c>
      <c r="I10" s="255">
        <v>24.8</v>
      </c>
      <c r="J10" s="255">
        <v>22.4</v>
      </c>
      <c r="K10" s="256" t="s">
        <v>239</v>
      </c>
    </row>
    <row r="11" spans="1:11" ht="15">
      <c r="A11" s="257"/>
      <c r="B11" s="29"/>
      <c r="C11" s="258"/>
      <c r="D11" s="255"/>
      <c r="E11" s="254"/>
      <c r="F11" s="255"/>
      <c r="G11" s="255"/>
      <c r="H11" s="255"/>
      <c r="I11" s="255"/>
      <c r="J11" s="255"/>
      <c r="K11" s="256"/>
    </row>
    <row r="12" spans="1:11" ht="15">
      <c r="A12" s="257">
        <v>600.01</v>
      </c>
      <c r="B12" s="29" t="s">
        <v>94</v>
      </c>
      <c r="C12" s="258">
        <v>700</v>
      </c>
      <c r="D12" s="255">
        <v>396.3</v>
      </c>
      <c r="E12" s="255">
        <v>144.8</v>
      </c>
      <c r="F12" s="255">
        <v>143.4</v>
      </c>
      <c r="G12" s="255">
        <v>130.8</v>
      </c>
      <c r="H12" s="255">
        <v>228.9</v>
      </c>
      <c r="I12" s="255">
        <v>170.9</v>
      </c>
      <c r="J12" s="254">
        <v>24</v>
      </c>
      <c r="K12" s="256" t="s">
        <v>240</v>
      </c>
    </row>
    <row r="13" spans="1:11" ht="15">
      <c r="A13" s="257"/>
      <c r="B13" s="29"/>
      <c r="C13" s="258"/>
      <c r="D13" s="255"/>
      <c r="E13" s="255"/>
      <c r="F13" s="255"/>
      <c r="G13" s="255"/>
      <c r="H13" s="255"/>
      <c r="I13" s="255"/>
      <c r="J13" s="254"/>
      <c r="K13" s="256"/>
    </row>
    <row r="14" spans="1:11" ht="15">
      <c r="A14" s="257">
        <v>700.01</v>
      </c>
      <c r="B14" s="29" t="s">
        <v>94</v>
      </c>
      <c r="C14" s="258">
        <v>800</v>
      </c>
      <c r="D14" s="255">
        <v>471.8</v>
      </c>
      <c r="E14" s="255">
        <v>319.5</v>
      </c>
      <c r="F14" s="255">
        <v>330.2</v>
      </c>
      <c r="G14" s="255">
        <v>316.8</v>
      </c>
      <c r="H14" s="255">
        <v>219.5</v>
      </c>
      <c r="I14" s="254">
        <v>104</v>
      </c>
      <c r="J14" s="255">
        <v>205.8</v>
      </c>
      <c r="K14" s="256" t="s">
        <v>241</v>
      </c>
    </row>
    <row r="15" spans="1:11" ht="15">
      <c r="A15" s="257"/>
      <c r="B15" s="29"/>
      <c r="C15" s="259"/>
      <c r="D15" s="255"/>
      <c r="E15" s="255"/>
      <c r="F15" s="255"/>
      <c r="G15" s="255"/>
      <c r="H15" s="255"/>
      <c r="I15" s="254"/>
      <c r="J15" s="255"/>
      <c r="K15" s="256"/>
    </row>
    <row r="16" spans="1:11" ht="15">
      <c r="A16" s="257">
        <v>800.01</v>
      </c>
      <c r="B16" s="29" t="s">
        <v>94</v>
      </c>
      <c r="C16" s="259">
        <v>1000</v>
      </c>
      <c r="D16" s="255">
        <v>823.9</v>
      </c>
      <c r="E16" s="255">
        <v>797.5</v>
      </c>
      <c r="F16" s="255">
        <v>748</v>
      </c>
      <c r="G16" s="255">
        <v>741.6</v>
      </c>
      <c r="H16" s="255">
        <v>575.1</v>
      </c>
      <c r="I16" s="255">
        <v>524.9</v>
      </c>
      <c r="J16" s="255">
        <v>426.5</v>
      </c>
      <c r="K16" s="256" t="s">
        <v>242</v>
      </c>
    </row>
    <row r="17" spans="1:11" ht="15">
      <c r="A17" s="257"/>
      <c r="B17" s="29"/>
      <c r="C17" s="259"/>
      <c r="D17" s="255"/>
      <c r="E17" s="255"/>
      <c r="F17" s="255"/>
      <c r="G17" s="255"/>
      <c r="H17" s="255"/>
      <c r="I17" s="255"/>
      <c r="J17" s="255"/>
      <c r="K17" s="256"/>
    </row>
    <row r="18" spans="1:11" ht="15">
      <c r="A18" s="257">
        <v>1000.01</v>
      </c>
      <c r="B18" s="29" t="s">
        <v>94</v>
      </c>
      <c r="C18" s="259">
        <v>1200</v>
      </c>
      <c r="D18" s="254">
        <v>515</v>
      </c>
      <c r="E18" s="255">
        <v>785.2</v>
      </c>
      <c r="F18" s="255">
        <v>816.7</v>
      </c>
      <c r="G18" s="255">
        <v>849.9</v>
      </c>
      <c r="H18" s="254">
        <v>808</v>
      </c>
      <c r="I18" s="254">
        <v>728</v>
      </c>
      <c r="J18" s="255">
        <v>631.4</v>
      </c>
      <c r="K18" s="256" t="s">
        <v>243</v>
      </c>
    </row>
    <row r="19" spans="1:11" ht="15">
      <c r="A19" s="257"/>
      <c r="B19" s="29"/>
      <c r="C19" s="259"/>
      <c r="D19" s="254"/>
      <c r="E19" s="255"/>
      <c r="F19" s="255"/>
      <c r="G19" s="255"/>
      <c r="H19" s="254"/>
      <c r="I19" s="254"/>
      <c r="J19" s="255"/>
      <c r="K19" s="256"/>
    </row>
    <row r="20" spans="1:11" ht="15">
      <c r="A20" s="257">
        <v>1200.01</v>
      </c>
      <c r="B20" s="29" t="s">
        <v>94</v>
      </c>
      <c r="C20" s="259">
        <v>1400</v>
      </c>
      <c r="D20" s="255">
        <v>270.1</v>
      </c>
      <c r="E20" s="255">
        <v>567.8</v>
      </c>
      <c r="F20" s="255">
        <v>658.6</v>
      </c>
      <c r="G20" s="255">
        <v>699.7</v>
      </c>
      <c r="H20" s="255">
        <v>774.3</v>
      </c>
      <c r="I20" s="255">
        <v>798.3</v>
      </c>
      <c r="J20" s="254">
        <v>758</v>
      </c>
      <c r="K20" s="256" t="s">
        <v>244</v>
      </c>
    </row>
    <row r="21" spans="1:11" ht="15">
      <c r="A21" s="257"/>
      <c r="B21" s="29"/>
      <c r="C21" s="259"/>
      <c r="D21" s="255"/>
      <c r="E21" s="255"/>
      <c r="F21" s="255"/>
      <c r="G21" s="255"/>
      <c r="H21" s="255"/>
      <c r="I21" s="255"/>
      <c r="J21" s="254"/>
      <c r="K21" s="256"/>
    </row>
    <row r="22" spans="1:11" ht="15">
      <c r="A22" s="257">
        <v>1400.01</v>
      </c>
      <c r="B22" s="29" t="s">
        <v>94</v>
      </c>
      <c r="C22" s="259">
        <v>1600</v>
      </c>
      <c r="D22" s="255">
        <v>140.5</v>
      </c>
      <c r="E22" s="255">
        <v>363.9</v>
      </c>
      <c r="F22" s="255">
        <v>452.5</v>
      </c>
      <c r="G22" s="255">
        <v>489.5</v>
      </c>
      <c r="H22" s="255">
        <v>599.6</v>
      </c>
      <c r="I22" s="255">
        <v>678.6</v>
      </c>
      <c r="J22" s="255">
        <v>692.8</v>
      </c>
      <c r="K22" s="256" t="s">
        <v>245</v>
      </c>
    </row>
    <row r="23" spans="1:11" ht="15">
      <c r="A23" s="257"/>
      <c r="B23" s="29"/>
      <c r="C23" s="259"/>
      <c r="D23" s="255"/>
      <c r="E23" s="255"/>
      <c r="F23" s="255"/>
      <c r="G23" s="255"/>
      <c r="H23" s="255"/>
      <c r="I23" s="255"/>
      <c r="J23" s="255"/>
      <c r="K23" s="214"/>
    </row>
    <row r="24" spans="1:11" ht="15">
      <c r="A24" s="257">
        <v>1600.01</v>
      </c>
      <c r="B24" s="29" t="s">
        <v>94</v>
      </c>
      <c r="C24" s="259">
        <v>1800</v>
      </c>
      <c r="D24" s="260">
        <v>94.2</v>
      </c>
      <c r="E24" s="260">
        <v>219.3</v>
      </c>
      <c r="F24" s="260">
        <v>291.6</v>
      </c>
      <c r="G24" s="260">
        <v>322.2</v>
      </c>
      <c r="H24" s="260">
        <v>420.4</v>
      </c>
      <c r="I24" s="261">
        <v>520</v>
      </c>
      <c r="J24" s="260">
        <v>561.3</v>
      </c>
      <c r="K24" s="256" t="s">
        <v>246</v>
      </c>
    </row>
    <row r="25" spans="1:11" ht="15">
      <c r="A25" s="257"/>
      <c r="B25" s="29"/>
      <c r="C25" s="259"/>
      <c r="D25" s="260"/>
      <c r="E25" s="260"/>
      <c r="F25" s="260"/>
      <c r="G25" s="260"/>
      <c r="H25" s="260"/>
      <c r="I25" s="260"/>
      <c r="J25" s="260"/>
      <c r="K25" s="256"/>
    </row>
    <row r="26" spans="1:11" ht="15">
      <c r="A26" s="257">
        <v>1800.01</v>
      </c>
      <c r="B26" s="29" t="s">
        <v>94</v>
      </c>
      <c r="C26" s="259">
        <v>2000</v>
      </c>
      <c r="D26" s="260">
        <v>84.1</v>
      </c>
      <c r="E26" s="260">
        <v>140.9</v>
      </c>
      <c r="F26" s="260">
        <v>186.4</v>
      </c>
      <c r="G26" s="260">
        <v>202.9</v>
      </c>
      <c r="H26" s="260">
        <v>281.6</v>
      </c>
      <c r="I26" s="260">
        <v>376.4</v>
      </c>
      <c r="J26" s="260">
        <v>425.9</v>
      </c>
      <c r="K26" s="256" t="s">
        <v>247</v>
      </c>
    </row>
    <row r="27" spans="1:11" ht="15">
      <c r="A27" s="257"/>
      <c r="B27" s="29"/>
      <c r="C27" s="259"/>
      <c r="D27" s="260"/>
      <c r="E27" s="260"/>
      <c r="F27" s="260"/>
      <c r="G27" s="260"/>
      <c r="H27" s="260"/>
      <c r="I27" s="260"/>
      <c r="J27" s="260"/>
      <c r="K27" s="256"/>
    </row>
    <row r="28" spans="1:11" ht="15">
      <c r="A28" s="257">
        <v>2000.01</v>
      </c>
      <c r="B28" s="29" t="s">
        <v>94</v>
      </c>
      <c r="C28" s="259">
        <v>2200</v>
      </c>
      <c r="D28" s="260">
        <v>59.6</v>
      </c>
      <c r="E28" s="260">
        <v>101.8</v>
      </c>
      <c r="F28" s="260">
        <v>123.8</v>
      </c>
      <c r="G28" s="260">
        <v>135.3</v>
      </c>
      <c r="H28" s="260">
        <v>186.9</v>
      </c>
      <c r="I28" s="260">
        <v>260.3</v>
      </c>
      <c r="J28" s="260">
        <v>309.8</v>
      </c>
      <c r="K28" s="256" t="s">
        <v>248</v>
      </c>
    </row>
    <row r="29" spans="1:11" ht="15">
      <c r="A29" s="257"/>
      <c r="B29" s="29"/>
      <c r="C29" s="259"/>
      <c r="D29" s="260"/>
      <c r="E29" s="260"/>
      <c r="F29" s="260"/>
      <c r="G29" s="260"/>
      <c r="H29" s="260"/>
      <c r="I29" s="260"/>
      <c r="J29" s="260"/>
      <c r="K29" s="256"/>
    </row>
    <row r="30" spans="1:11" ht="15">
      <c r="A30" s="257">
        <v>2200.01</v>
      </c>
      <c r="B30" s="29" t="s">
        <v>94</v>
      </c>
      <c r="C30" s="259">
        <v>2400</v>
      </c>
      <c r="D30" s="260">
        <v>31.3</v>
      </c>
      <c r="E30" s="261">
        <v>86</v>
      </c>
      <c r="F30" s="260">
        <v>93.9</v>
      </c>
      <c r="G30" s="260">
        <v>103.7</v>
      </c>
      <c r="H30" s="260">
        <v>124.4</v>
      </c>
      <c r="I30" s="260">
        <v>173.7</v>
      </c>
      <c r="J30" s="260">
        <v>216.7</v>
      </c>
      <c r="K30" s="256" t="s">
        <v>249</v>
      </c>
    </row>
    <row r="31" spans="1:11" ht="15">
      <c r="A31" s="257"/>
      <c r="B31" s="29"/>
      <c r="C31" s="259"/>
      <c r="D31" s="260"/>
      <c r="E31" s="260"/>
      <c r="F31" s="260"/>
      <c r="G31" s="260"/>
      <c r="H31" s="260"/>
      <c r="I31" s="260"/>
      <c r="J31" s="260"/>
      <c r="K31" s="256"/>
    </row>
    <row r="32" spans="1:11" ht="15">
      <c r="A32" s="257">
        <v>2400.01</v>
      </c>
      <c r="B32" s="29" t="s">
        <v>94</v>
      </c>
      <c r="C32" s="259">
        <v>2600</v>
      </c>
      <c r="D32" s="260">
        <v>10.2</v>
      </c>
      <c r="E32" s="260">
        <v>74.3</v>
      </c>
      <c r="F32" s="260">
        <v>82.5</v>
      </c>
      <c r="G32" s="260">
        <v>88.2</v>
      </c>
      <c r="H32" s="260">
        <v>97.7</v>
      </c>
      <c r="I32" s="260">
        <v>127.1</v>
      </c>
      <c r="J32" s="260">
        <v>153</v>
      </c>
      <c r="K32" s="256" t="s">
        <v>250</v>
      </c>
    </row>
    <row r="33" spans="1:13" ht="15">
      <c r="A33" s="257"/>
      <c r="B33" s="29"/>
      <c r="C33" s="257"/>
      <c r="D33" s="262"/>
      <c r="E33" s="262"/>
      <c r="F33" s="262"/>
      <c r="G33" s="262"/>
      <c r="H33" s="262"/>
      <c r="I33" s="262"/>
      <c r="J33" s="262"/>
      <c r="K33" s="263"/>
      <c r="M33" s="3"/>
    </row>
    <row r="34" spans="1:11" ht="15" customHeight="1">
      <c r="A34" s="257">
        <v>2600.01</v>
      </c>
      <c r="B34" s="264" t="s">
        <v>95</v>
      </c>
      <c r="C34" s="265"/>
      <c r="D34" s="262">
        <v>3.3</v>
      </c>
      <c r="E34" s="262">
        <v>121.4</v>
      </c>
      <c r="F34" s="262">
        <v>195.3</v>
      </c>
      <c r="G34" s="262">
        <v>216.7</v>
      </c>
      <c r="H34" s="262">
        <v>335.4</v>
      </c>
      <c r="I34" s="262">
        <v>460.6</v>
      </c>
      <c r="J34" s="262">
        <v>569.2</v>
      </c>
      <c r="K34" s="263">
        <v>662.5</v>
      </c>
    </row>
    <row r="35" ht="11.25" customHeight="1"/>
    <row r="36" spans="1:11" ht="42.75" customHeight="1">
      <c r="A36" s="609" t="s">
        <v>96</v>
      </c>
      <c r="B36" s="609"/>
      <c r="C36" s="609"/>
      <c r="D36" s="609"/>
      <c r="E36" s="609"/>
      <c r="F36" s="609"/>
      <c r="G36" s="609"/>
      <c r="H36" s="609"/>
      <c r="I36" s="609"/>
      <c r="J36" s="609"/>
      <c r="K36" s="609"/>
    </row>
    <row r="37" spans="1:11" ht="48" customHeight="1">
      <c r="A37" s="608" t="s">
        <v>97</v>
      </c>
      <c r="B37" s="608"/>
      <c r="C37" s="608"/>
      <c r="D37" s="608"/>
      <c r="E37" s="608"/>
      <c r="F37" s="608"/>
      <c r="G37" s="608"/>
      <c r="H37" s="608"/>
      <c r="I37" s="608"/>
      <c r="J37" s="608"/>
      <c r="K37" s="608"/>
    </row>
    <row r="38" ht="15">
      <c r="A38" s="113"/>
    </row>
  </sheetData>
  <mergeCells count="8">
    <mergeCell ref="A36:K36"/>
    <mergeCell ref="A37:K37"/>
    <mergeCell ref="A1:K1"/>
    <mergeCell ref="A3:K3"/>
    <mergeCell ref="A6:C6"/>
    <mergeCell ref="A8:C8"/>
    <mergeCell ref="D5:K5"/>
    <mergeCell ref="A4:C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59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Layout" workbookViewId="0" topLeftCell="A19">
      <selection activeCell="E31" sqref="E31"/>
    </sheetView>
  </sheetViews>
  <sheetFormatPr defaultColWidth="9.140625" defaultRowHeight="15"/>
  <cols>
    <col min="1" max="1" width="7.00390625" style="4" customWidth="1"/>
    <col min="2" max="2" width="3.28125" style="4" customWidth="1"/>
    <col min="3" max="3" width="7.421875" style="4" customWidth="1"/>
    <col min="4" max="10" width="8.7109375" style="4" customWidth="1"/>
    <col min="11" max="11" width="8.7109375" style="3" customWidth="1"/>
    <col min="12" max="16384" width="9.140625" style="4" customWidth="1"/>
  </cols>
  <sheetData>
    <row r="1" spans="1:11" ht="27.95" customHeight="1">
      <c r="A1" s="584" t="s">
        <v>715</v>
      </c>
      <c r="B1" s="584"/>
      <c r="C1" s="584"/>
      <c r="D1" s="584"/>
      <c r="E1" s="584"/>
      <c r="F1" s="584"/>
      <c r="G1" s="584"/>
      <c r="H1" s="584"/>
      <c r="I1" s="584"/>
      <c r="J1" s="584"/>
      <c r="K1" s="584"/>
    </row>
    <row r="2" spans="1:11" ht="27.95" customHeight="1">
      <c r="A2" s="579" t="s">
        <v>716</v>
      </c>
      <c r="B2" s="579"/>
      <c r="C2" s="579"/>
      <c r="D2" s="579"/>
      <c r="E2" s="579"/>
      <c r="F2" s="579"/>
      <c r="G2" s="579"/>
      <c r="H2" s="579"/>
      <c r="I2" s="579"/>
      <c r="J2" s="579"/>
      <c r="K2" s="579"/>
    </row>
    <row r="3" spans="1:11" ht="9.95" customHeight="1">
      <c r="A3" s="97"/>
      <c r="B3" s="97"/>
      <c r="C3" s="97"/>
      <c r="D3" s="97"/>
      <c r="E3" s="97"/>
      <c r="F3" s="97"/>
      <c r="G3" s="97"/>
      <c r="H3" s="97"/>
      <c r="I3" s="97"/>
      <c r="J3" s="97"/>
      <c r="K3" s="97"/>
    </row>
    <row r="4" spans="1:11" ht="46.5" customHeight="1">
      <c r="A4" s="580" t="s">
        <v>712</v>
      </c>
      <c r="B4" s="646"/>
      <c r="C4" s="646"/>
      <c r="D4" s="639" t="s">
        <v>717</v>
      </c>
      <c r="E4" s="640"/>
      <c r="F4" s="648"/>
      <c r="G4" s="639" t="s">
        <v>718</v>
      </c>
      <c r="H4" s="640"/>
      <c r="I4" s="648"/>
      <c r="J4" s="639" t="s">
        <v>719</v>
      </c>
      <c r="K4" s="640"/>
    </row>
    <row r="5" spans="1:11" ht="75.75" customHeight="1">
      <c r="A5" s="643"/>
      <c r="B5" s="647"/>
      <c r="C5" s="647"/>
      <c r="D5" s="565" t="s">
        <v>720</v>
      </c>
      <c r="E5" s="27" t="s">
        <v>596</v>
      </c>
      <c r="F5" s="27" t="s">
        <v>721</v>
      </c>
      <c r="G5" s="27" t="s">
        <v>722</v>
      </c>
      <c r="H5" s="27" t="s">
        <v>596</v>
      </c>
      <c r="I5" s="27" t="s">
        <v>721</v>
      </c>
      <c r="J5" s="27" t="s">
        <v>723</v>
      </c>
      <c r="K5" s="28" t="s">
        <v>596</v>
      </c>
    </row>
    <row r="6" spans="1:11" ht="36.75" customHeight="1">
      <c r="A6" s="649" t="s">
        <v>713</v>
      </c>
      <c r="B6" s="650"/>
      <c r="C6" s="650"/>
      <c r="D6" s="266">
        <v>5165.1</v>
      </c>
      <c r="E6" s="266">
        <v>100</v>
      </c>
      <c r="F6" s="266">
        <v>3073.9</v>
      </c>
      <c r="G6" s="266">
        <v>900.7</v>
      </c>
      <c r="H6" s="266">
        <v>100</v>
      </c>
      <c r="I6" s="266">
        <v>303.1</v>
      </c>
      <c r="J6" s="266">
        <v>1253.6</v>
      </c>
      <c r="K6" s="267">
        <v>100</v>
      </c>
    </row>
    <row r="7" spans="1:11" ht="15" customHeight="1">
      <c r="A7" s="644" t="s">
        <v>93</v>
      </c>
      <c r="B7" s="644"/>
      <c r="C7" s="645"/>
      <c r="D7" s="268">
        <v>11.4</v>
      </c>
      <c r="E7" s="268">
        <v>0.2</v>
      </c>
      <c r="F7" s="268">
        <v>8.8</v>
      </c>
      <c r="G7" s="180" t="s">
        <v>94</v>
      </c>
      <c r="H7" s="180" t="s">
        <v>94</v>
      </c>
      <c r="I7" s="180" t="s">
        <v>94</v>
      </c>
      <c r="J7" s="182" t="s">
        <v>94</v>
      </c>
      <c r="K7" s="182" t="s">
        <v>94</v>
      </c>
    </row>
    <row r="8" spans="1:11" ht="15">
      <c r="A8" s="269"/>
      <c r="B8" s="269"/>
      <c r="C8" s="269"/>
      <c r="D8" s="268"/>
      <c r="E8" s="268"/>
      <c r="F8" s="268"/>
      <c r="G8" s="180"/>
      <c r="H8" s="180"/>
      <c r="I8" s="180"/>
      <c r="J8" s="182"/>
      <c r="K8" s="182"/>
    </row>
    <row r="9" spans="1:11" ht="15" customHeight="1">
      <c r="A9" s="270">
        <v>500.01</v>
      </c>
      <c r="B9" s="271" t="s">
        <v>94</v>
      </c>
      <c r="C9" s="272">
        <v>700</v>
      </c>
      <c r="D9" s="268">
        <v>44.1</v>
      </c>
      <c r="E9" s="268">
        <v>0.9</v>
      </c>
      <c r="F9" s="268">
        <v>39.9</v>
      </c>
      <c r="G9" s="180" t="s">
        <v>94</v>
      </c>
      <c r="H9" s="180" t="s">
        <v>94</v>
      </c>
      <c r="I9" s="180" t="s">
        <v>94</v>
      </c>
      <c r="J9" s="182" t="s">
        <v>94</v>
      </c>
      <c r="K9" s="182" t="s">
        <v>94</v>
      </c>
    </row>
    <row r="10" spans="1:11" ht="15" customHeight="1">
      <c r="A10" s="257">
        <v>700.01</v>
      </c>
      <c r="B10" s="273" t="s">
        <v>94</v>
      </c>
      <c r="C10" s="274">
        <v>900</v>
      </c>
      <c r="D10" s="275">
        <v>105</v>
      </c>
      <c r="E10" s="275">
        <v>2</v>
      </c>
      <c r="F10" s="275">
        <v>94.9</v>
      </c>
      <c r="G10" s="275">
        <v>178.4</v>
      </c>
      <c r="H10" s="275">
        <v>19.8</v>
      </c>
      <c r="I10" s="275">
        <v>79.7</v>
      </c>
      <c r="J10" s="182" t="s">
        <v>94</v>
      </c>
      <c r="K10" s="182" t="s">
        <v>94</v>
      </c>
    </row>
    <row r="11" spans="1:11" ht="15" customHeight="1">
      <c r="A11" s="257">
        <v>900.01</v>
      </c>
      <c r="B11" s="273" t="s">
        <v>94</v>
      </c>
      <c r="C11" s="274">
        <v>1000</v>
      </c>
      <c r="D11" s="275">
        <v>128.8</v>
      </c>
      <c r="E11" s="275">
        <v>2.5</v>
      </c>
      <c r="F11" s="275">
        <v>115.6</v>
      </c>
      <c r="G11" s="275">
        <v>120.2</v>
      </c>
      <c r="H11" s="275">
        <v>13.3</v>
      </c>
      <c r="I11" s="275">
        <v>50.6</v>
      </c>
      <c r="J11" s="275">
        <v>83.4</v>
      </c>
      <c r="K11" s="276">
        <v>6.7</v>
      </c>
    </row>
    <row r="12" spans="1:11" ht="15" customHeight="1">
      <c r="A12" s="257">
        <v>1000.01</v>
      </c>
      <c r="B12" s="273" t="s">
        <v>94</v>
      </c>
      <c r="C12" s="274">
        <v>1200</v>
      </c>
      <c r="D12" s="275">
        <v>255.3</v>
      </c>
      <c r="E12" s="275">
        <v>4.9</v>
      </c>
      <c r="F12" s="275">
        <v>221.1</v>
      </c>
      <c r="G12" s="275">
        <v>109.3</v>
      </c>
      <c r="H12" s="275">
        <v>12.1</v>
      </c>
      <c r="I12" s="275">
        <v>32.7</v>
      </c>
      <c r="J12" s="275">
        <v>72.8</v>
      </c>
      <c r="K12" s="276">
        <v>5.8</v>
      </c>
    </row>
    <row r="13" spans="1:11" ht="15" customHeight="1">
      <c r="A13" s="257">
        <v>1200.01</v>
      </c>
      <c r="B13" s="273" t="s">
        <v>94</v>
      </c>
      <c r="C13" s="274">
        <v>1400</v>
      </c>
      <c r="D13" s="275">
        <v>504.3</v>
      </c>
      <c r="E13" s="275">
        <v>9.8</v>
      </c>
      <c r="F13" s="275">
        <v>425.6</v>
      </c>
      <c r="G13" s="275">
        <v>129.9</v>
      </c>
      <c r="H13" s="275">
        <v>14.4</v>
      </c>
      <c r="I13" s="275">
        <v>40.7</v>
      </c>
      <c r="J13" s="275">
        <v>165.6</v>
      </c>
      <c r="K13" s="276">
        <v>13.2</v>
      </c>
    </row>
    <row r="14" spans="1:11" ht="15" customHeight="1">
      <c r="A14" s="257">
        <v>1400.01</v>
      </c>
      <c r="B14" s="273" t="s">
        <v>94</v>
      </c>
      <c r="C14" s="274">
        <v>1600</v>
      </c>
      <c r="D14" s="275">
        <v>568.2</v>
      </c>
      <c r="E14" s="275">
        <v>11</v>
      </c>
      <c r="F14" s="275">
        <v>463.9</v>
      </c>
      <c r="G14" s="275">
        <v>68.5</v>
      </c>
      <c r="H14" s="275">
        <v>7.6</v>
      </c>
      <c r="I14" s="275">
        <v>14.7</v>
      </c>
      <c r="J14" s="275">
        <v>159.3</v>
      </c>
      <c r="K14" s="276">
        <v>12.7</v>
      </c>
    </row>
    <row r="15" spans="1:11" ht="15" customHeight="1">
      <c r="A15" s="257">
        <v>1600.01</v>
      </c>
      <c r="B15" s="273" t="s">
        <v>94</v>
      </c>
      <c r="C15" s="274">
        <v>1800</v>
      </c>
      <c r="D15" s="275">
        <v>603.3</v>
      </c>
      <c r="E15" s="275">
        <v>11.7</v>
      </c>
      <c r="F15" s="275">
        <v>452.6</v>
      </c>
      <c r="G15" s="275">
        <v>47.2</v>
      </c>
      <c r="H15" s="275">
        <v>5.2</v>
      </c>
      <c r="I15" s="275">
        <v>10</v>
      </c>
      <c r="J15" s="275">
        <v>173</v>
      </c>
      <c r="K15" s="276">
        <v>13.8</v>
      </c>
    </row>
    <row r="16" spans="1:11" ht="15" customHeight="1">
      <c r="A16" s="257">
        <v>1800.01</v>
      </c>
      <c r="B16" s="273" t="s">
        <v>94</v>
      </c>
      <c r="C16" s="274">
        <v>2000</v>
      </c>
      <c r="D16" s="275">
        <v>550.5</v>
      </c>
      <c r="E16" s="275">
        <v>10.7</v>
      </c>
      <c r="F16" s="275">
        <v>353.8</v>
      </c>
      <c r="G16" s="275">
        <v>38.8</v>
      </c>
      <c r="H16" s="275">
        <v>4.3</v>
      </c>
      <c r="I16" s="275">
        <v>8.1</v>
      </c>
      <c r="J16" s="275">
        <v>163</v>
      </c>
      <c r="K16" s="276">
        <v>13</v>
      </c>
    </row>
    <row r="17" spans="1:11" ht="15" customHeight="1">
      <c r="A17" s="257">
        <v>2000.01</v>
      </c>
      <c r="B17" s="273" t="s">
        <v>94</v>
      </c>
      <c r="C17" s="274">
        <v>2200</v>
      </c>
      <c r="D17" s="275">
        <v>472.8</v>
      </c>
      <c r="E17" s="275">
        <v>9.2</v>
      </c>
      <c r="F17" s="275">
        <v>251.6</v>
      </c>
      <c r="G17" s="275">
        <v>28.4</v>
      </c>
      <c r="H17" s="275">
        <v>3.2</v>
      </c>
      <c r="I17" s="275">
        <v>8</v>
      </c>
      <c r="J17" s="275">
        <v>112.6</v>
      </c>
      <c r="K17" s="276">
        <v>9</v>
      </c>
    </row>
    <row r="18" spans="1:11" ht="15" customHeight="1">
      <c r="A18" s="257">
        <v>2200.01</v>
      </c>
      <c r="B18" s="273" t="s">
        <v>94</v>
      </c>
      <c r="C18" s="274">
        <v>2400</v>
      </c>
      <c r="D18" s="275">
        <v>388.2</v>
      </c>
      <c r="E18" s="275">
        <v>7.5</v>
      </c>
      <c r="F18" s="275">
        <v>176.2</v>
      </c>
      <c r="G18" s="275">
        <v>22.4</v>
      </c>
      <c r="H18" s="275">
        <v>2.5</v>
      </c>
      <c r="I18" s="275">
        <v>6.9</v>
      </c>
      <c r="J18" s="275">
        <v>81.2</v>
      </c>
      <c r="K18" s="276">
        <v>6.5</v>
      </c>
    </row>
    <row r="19" spans="1:11" ht="15" customHeight="1">
      <c r="A19" s="257">
        <v>2400.01</v>
      </c>
      <c r="B19" s="273" t="s">
        <v>94</v>
      </c>
      <c r="C19" s="274">
        <v>2600</v>
      </c>
      <c r="D19" s="275">
        <v>306.7</v>
      </c>
      <c r="E19" s="275">
        <v>5.9</v>
      </c>
      <c r="F19" s="275">
        <v>122.6</v>
      </c>
      <c r="G19" s="275">
        <v>21.2</v>
      </c>
      <c r="H19" s="275">
        <v>2.4</v>
      </c>
      <c r="I19" s="275">
        <v>7.7</v>
      </c>
      <c r="J19" s="275">
        <v>58</v>
      </c>
      <c r="K19" s="276">
        <v>4.6</v>
      </c>
    </row>
    <row r="20" spans="1:11" ht="15" customHeight="1">
      <c r="A20" s="257">
        <v>2600.01</v>
      </c>
      <c r="B20" s="273" t="s">
        <v>94</v>
      </c>
      <c r="C20" s="274">
        <v>2800</v>
      </c>
      <c r="D20" s="275">
        <v>237.7</v>
      </c>
      <c r="E20" s="275">
        <v>4.6</v>
      </c>
      <c r="F20" s="275">
        <v>86.5</v>
      </c>
      <c r="G20" s="275">
        <v>21.6</v>
      </c>
      <c r="H20" s="275">
        <v>2.4</v>
      </c>
      <c r="I20" s="275">
        <v>9.3</v>
      </c>
      <c r="J20" s="275">
        <v>42.4</v>
      </c>
      <c r="K20" s="276">
        <v>3.4</v>
      </c>
    </row>
    <row r="21" spans="1:11" ht="15" customHeight="1">
      <c r="A21" s="257">
        <v>2800.01</v>
      </c>
      <c r="B21" s="273" t="s">
        <v>94</v>
      </c>
      <c r="C21" s="274">
        <v>3000</v>
      </c>
      <c r="D21" s="275">
        <v>181.7</v>
      </c>
      <c r="E21" s="275">
        <v>3.5</v>
      </c>
      <c r="F21" s="275">
        <v>61.5</v>
      </c>
      <c r="G21" s="275">
        <v>18.3</v>
      </c>
      <c r="H21" s="275">
        <v>2</v>
      </c>
      <c r="I21" s="275">
        <v>7.3</v>
      </c>
      <c r="J21" s="275">
        <v>36.3</v>
      </c>
      <c r="K21" s="276">
        <v>2.9</v>
      </c>
    </row>
    <row r="22" spans="1:11" ht="15" customHeight="1">
      <c r="A22" s="257">
        <v>3000.01</v>
      </c>
      <c r="B22" s="273" t="s">
        <v>94</v>
      </c>
      <c r="C22" s="274">
        <v>3200</v>
      </c>
      <c r="D22" s="275">
        <v>143.2</v>
      </c>
      <c r="E22" s="275">
        <v>2.8</v>
      </c>
      <c r="F22" s="275">
        <v>46.2</v>
      </c>
      <c r="G22" s="275">
        <v>17</v>
      </c>
      <c r="H22" s="275">
        <v>1.9</v>
      </c>
      <c r="I22" s="275">
        <v>6.4</v>
      </c>
      <c r="J22" s="275">
        <v>28.5</v>
      </c>
      <c r="K22" s="276">
        <v>2.3</v>
      </c>
    </row>
    <row r="23" spans="1:11" ht="15" customHeight="1">
      <c r="A23" s="277">
        <v>3200.01</v>
      </c>
      <c r="B23" s="278" t="s">
        <v>94</v>
      </c>
      <c r="C23" s="279">
        <v>3400</v>
      </c>
      <c r="D23" s="275">
        <v>115.5</v>
      </c>
      <c r="E23" s="275">
        <v>2.2</v>
      </c>
      <c r="F23" s="275">
        <v>34.4</v>
      </c>
      <c r="G23" s="275">
        <v>13.7</v>
      </c>
      <c r="H23" s="275">
        <v>1.5</v>
      </c>
      <c r="I23" s="275">
        <v>5.8</v>
      </c>
      <c r="J23" s="275">
        <v>24.5</v>
      </c>
      <c r="K23" s="276">
        <v>2</v>
      </c>
    </row>
    <row r="24" spans="1:11" ht="15" customHeight="1">
      <c r="A24" s="277">
        <v>3400.01</v>
      </c>
      <c r="B24" s="278" t="s">
        <v>94</v>
      </c>
      <c r="C24" s="279">
        <v>3600</v>
      </c>
      <c r="D24" s="275">
        <v>96.2</v>
      </c>
      <c r="E24" s="275">
        <v>1.9</v>
      </c>
      <c r="F24" s="275">
        <v>26.3</v>
      </c>
      <c r="G24" s="275">
        <v>12.1</v>
      </c>
      <c r="H24" s="275">
        <v>1.3</v>
      </c>
      <c r="I24" s="275">
        <v>4.8</v>
      </c>
      <c r="J24" s="275">
        <v>19.5</v>
      </c>
      <c r="K24" s="276">
        <v>1.6</v>
      </c>
    </row>
    <row r="25" spans="1:11" ht="15" customHeight="1">
      <c r="A25" s="277">
        <v>3600.01</v>
      </c>
      <c r="B25" s="278" t="s">
        <v>94</v>
      </c>
      <c r="C25" s="279">
        <v>3800</v>
      </c>
      <c r="D25" s="275">
        <v>81.7</v>
      </c>
      <c r="E25" s="275">
        <v>1.6</v>
      </c>
      <c r="F25" s="275">
        <v>21.1</v>
      </c>
      <c r="G25" s="275">
        <v>9.3</v>
      </c>
      <c r="H25" s="275">
        <v>1</v>
      </c>
      <c r="I25" s="275">
        <v>3.1</v>
      </c>
      <c r="J25" s="275">
        <v>14.2</v>
      </c>
      <c r="K25" s="276">
        <v>1.1</v>
      </c>
    </row>
    <row r="26" spans="1:11" ht="15" customHeight="1">
      <c r="A26" s="277">
        <v>3800.01</v>
      </c>
      <c r="B26" s="278" t="s">
        <v>94</v>
      </c>
      <c r="C26" s="279">
        <v>4000</v>
      </c>
      <c r="D26" s="275">
        <v>71.4</v>
      </c>
      <c r="E26" s="275">
        <v>1.4</v>
      </c>
      <c r="F26" s="275">
        <v>16.5</v>
      </c>
      <c r="G26" s="275">
        <v>6.9</v>
      </c>
      <c r="H26" s="275">
        <v>0.8</v>
      </c>
      <c r="I26" s="275">
        <v>2</v>
      </c>
      <c r="J26" s="275">
        <v>7.8</v>
      </c>
      <c r="K26" s="276">
        <v>0.6</v>
      </c>
    </row>
    <row r="27" spans="1:11" ht="15" customHeight="1">
      <c r="A27" s="288">
        <v>4000.01</v>
      </c>
      <c r="B27" s="278" t="s">
        <v>94</v>
      </c>
      <c r="C27" s="281">
        <v>4500</v>
      </c>
      <c r="D27" s="275">
        <v>132.9</v>
      </c>
      <c r="E27" s="275">
        <v>2.6</v>
      </c>
      <c r="F27" s="275">
        <v>27</v>
      </c>
      <c r="G27" s="275">
        <v>11.4</v>
      </c>
      <c r="H27" s="275">
        <v>1.3</v>
      </c>
      <c r="I27" s="275">
        <v>2.6</v>
      </c>
      <c r="J27" s="275">
        <v>8.1</v>
      </c>
      <c r="K27" s="276">
        <v>0.6</v>
      </c>
    </row>
    <row r="28" spans="1:11" ht="15" customHeight="1">
      <c r="A28" s="288">
        <v>4500.01</v>
      </c>
      <c r="B28" s="278" t="s">
        <v>94</v>
      </c>
      <c r="C28" s="274">
        <v>5000</v>
      </c>
      <c r="D28" s="282">
        <v>78.7</v>
      </c>
      <c r="E28" s="282">
        <v>1.5</v>
      </c>
      <c r="F28" s="282">
        <v>15.6</v>
      </c>
      <c r="G28" s="282">
        <v>8.9</v>
      </c>
      <c r="H28" s="282">
        <v>1</v>
      </c>
      <c r="I28" s="282">
        <v>1.3</v>
      </c>
      <c r="J28" s="282">
        <v>2</v>
      </c>
      <c r="K28" s="283">
        <v>0.2</v>
      </c>
    </row>
    <row r="29" spans="1:11" ht="15" customHeight="1">
      <c r="A29" s="651" t="s">
        <v>574</v>
      </c>
      <c r="B29" s="651"/>
      <c r="C29" s="651"/>
      <c r="D29" s="282">
        <v>87.5</v>
      </c>
      <c r="E29" s="282">
        <v>1.7</v>
      </c>
      <c r="F29" s="282">
        <v>12.3</v>
      </c>
      <c r="G29" s="282">
        <v>17.1</v>
      </c>
      <c r="H29" s="282">
        <v>1.9</v>
      </c>
      <c r="I29" s="282">
        <v>1.3</v>
      </c>
      <c r="J29" s="282">
        <v>1.4</v>
      </c>
      <c r="K29" s="283">
        <v>0.1</v>
      </c>
    </row>
    <row r="30" spans="1:11" ht="9" customHeight="1">
      <c r="A30" s="257"/>
      <c r="B30" s="29"/>
      <c r="C30" s="280"/>
      <c r="D30" s="284"/>
      <c r="E30" s="284"/>
      <c r="F30" s="284"/>
      <c r="G30" s="284"/>
      <c r="H30" s="284"/>
      <c r="I30" s="284"/>
      <c r="J30" s="284"/>
      <c r="K30" s="285"/>
    </row>
    <row r="31" spans="1:11" ht="27.75" customHeight="1">
      <c r="A31" s="599" t="s">
        <v>573</v>
      </c>
      <c r="B31" s="599"/>
      <c r="C31" s="599"/>
      <c r="D31" s="599"/>
      <c r="E31" s="599"/>
      <c r="F31" s="599"/>
      <c r="G31" s="599"/>
      <c r="H31" s="599"/>
      <c r="I31" s="599"/>
      <c r="J31" s="599"/>
      <c r="K31" s="599"/>
    </row>
    <row r="32" spans="1:11" ht="30" customHeight="1">
      <c r="A32" s="608" t="s">
        <v>98</v>
      </c>
      <c r="B32" s="608"/>
      <c r="C32" s="608"/>
      <c r="D32" s="608"/>
      <c r="E32" s="608"/>
      <c r="F32" s="608"/>
      <c r="G32" s="608"/>
      <c r="H32" s="608"/>
      <c r="I32" s="608"/>
      <c r="J32" s="608"/>
      <c r="K32" s="608"/>
    </row>
    <row r="33" spans="1:11" ht="15" customHeight="1">
      <c r="A33" s="286"/>
      <c r="B33" s="287"/>
      <c r="C33" s="257"/>
      <c r="D33" s="288"/>
      <c r="E33" s="288"/>
      <c r="F33" s="288"/>
      <c r="G33" s="288"/>
      <c r="H33" s="288"/>
      <c r="I33" s="288"/>
      <c r="J33" s="288"/>
      <c r="K33" s="289"/>
    </row>
    <row r="34" spans="1:11" ht="15" customHeight="1">
      <c r="A34" s="257"/>
      <c r="B34" s="287"/>
      <c r="C34" s="257"/>
      <c r="D34" s="288"/>
      <c r="E34" s="288"/>
      <c r="F34" s="288"/>
      <c r="G34" s="288"/>
      <c r="H34" s="288"/>
      <c r="I34" s="288"/>
      <c r="J34" s="288"/>
      <c r="K34" s="289"/>
    </row>
    <row r="35" spans="1:11" ht="15" customHeight="1">
      <c r="A35" s="257"/>
      <c r="B35" s="287"/>
      <c r="C35" s="257"/>
      <c r="D35" s="288"/>
      <c r="E35" s="288"/>
      <c r="F35" s="288"/>
      <c r="G35" s="288"/>
      <c r="H35" s="288"/>
      <c r="I35" s="288"/>
      <c r="J35" s="288"/>
      <c r="K35" s="289"/>
    </row>
    <row r="36" spans="1:11" ht="15" customHeight="1">
      <c r="A36" s="257"/>
      <c r="B36" s="287"/>
      <c r="C36" s="257"/>
      <c r="D36" s="288"/>
      <c r="E36" s="288"/>
      <c r="F36" s="288"/>
      <c r="G36" s="288"/>
      <c r="H36" s="288"/>
      <c r="I36" s="288"/>
      <c r="J36" s="288"/>
      <c r="K36" s="289"/>
    </row>
    <row r="38" ht="15">
      <c r="A38" s="113"/>
    </row>
  </sheetData>
  <mergeCells count="11">
    <mergeCell ref="A31:K31"/>
    <mergeCell ref="A32:K32"/>
    <mergeCell ref="A7:C7"/>
    <mergeCell ref="A1:K1"/>
    <mergeCell ref="A2:K2"/>
    <mergeCell ref="A4:C5"/>
    <mergeCell ref="G4:I4"/>
    <mergeCell ref="J4:K4"/>
    <mergeCell ref="A6:C6"/>
    <mergeCell ref="D4:F4"/>
    <mergeCell ref="A29:C2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60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Layout" workbookViewId="0" topLeftCell="A13">
      <selection activeCell="E31" sqref="E31"/>
    </sheetView>
  </sheetViews>
  <sheetFormatPr defaultColWidth="9.140625" defaultRowHeight="15"/>
  <cols>
    <col min="1" max="1" width="40.7109375" style="4" customWidth="1"/>
    <col min="2" max="11" width="11.7109375" style="4" customWidth="1"/>
    <col min="12" max="16384" width="9.140625" style="4" customWidth="1"/>
  </cols>
  <sheetData>
    <row r="1" spans="1:11" ht="15.95" customHeight="1">
      <c r="A1" s="5" t="s">
        <v>586</v>
      </c>
      <c r="B1" s="24"/>
      <c r="C1" s="24"/>
      <c r="D1" s="24"/>
      <c r="E1" s="24"/>
      <c r="F1" s="24"/>
      <c r="G1" s="24"/>
      <c r="H1" s="24"/>
      <c r="I1" s="24"/>
      <c r="J1" s="24"/>
      <c r="K1" s="24"/>
    </row>
    <row r="2" spans="1:11" ht="15.95" customHeight="1">
      <c r="A2" s="10" t="s">
        <v>587</v>
      </c>
      <c r="C2" s="7"/>
      <c r="D2" s="7"/>
      <c r="E2" s="7"/>
      <c r="F2" s="7"/>
      <c r="G2" s="7"/>
      <c r="H2" s="3"/>
      <c r="I2" s="3"/>
      <c r="J2" s="3"/>
      <c r="K2" s="3"/>
    </row>
    <row r="3" spans="1:11" ht="9.95" customHeight="1">
      <c r="A3" s="10"/>
      <c r="C3" s="7"/>
      <c r="D3" s="7"/>
      <c r="E3" s="7"/>
      <c r="F3" s="7"/>
      <c r="G3" s="7"/>
      <c r="H3" s="3"/>
      <c r="I3" s="3"/>
      <c r="J3" s="3"/>
      <c r="K3" s="3"/>
    </row>
    <row r="4" spans="1:11" ht="33.75" customHeight="1">
      <c r="A4" s="641" t="s">
        <v>595</v>
      </c>
      <c r="B4" s="25">
        <v>2005</v>
      </c>
      <c r="C4" s="27" t="s">
        <v>16</v>
      </c>
      <c r="D4" s="25">
        <v>2010</v>
      </c>
      <c r="E4" s="27" t="s">
        <v>17</v>
      </c>
      <c r="F4" s="25">
        <v>2015</v>
      </c>
      <c r="G4" s="27" t="s">
        <v>18</v>
      </c>
      <c r="H4" s="25">
        <v>2016</v>
      </c>
      <c r="I4" s="28" t="s">
        <v>19</v>
      </c>
      <c r="J4" s="25">
        <v>2017</v>
      </c>
      <c r="K4" s="28" t="s">
        <v>561</v>
      </c>
    </row>
    <row r="5" spans="1:11" ht="33.75" customHeight="1">
      <c r="A5" s="652"/>
      <c r="B5" s="293" t="s">
        <v>724</v>
      </c>
      <c r="C5" s="293" t="s">
        <v>596</v>
      </c>
      <c r="D5" s="293" t="s">
        <v>724</v>
      </c>
      <c r="E5" s="293" t="s">
        <v>596</v>
      </c>
      <c r="F5" s="293" t="s">
        <v>724</v>
      </c>
      <c r="G5" s="293" t="s">
        <v>596</v>
      </c>
      <c r="H5" s="293" t="s">
        <v>724</v>
      </c>
      <c r="I5" s="294" t="s">
        <v>596</v>
      </c>
      <c r="J5" s="293" t="s">
        <v>724</v>
      </c>
      <c r="K5" s="294" t="s">
        <v>596</v>
      </c>
    </row>
    <row r="6" spans="1:11" ht="15">
      <c r="A6" s="29"/>
      <c r="B6" s="205"/>
      <c r="C6" s="206"/>
      <c r="D6" s="205"/>
      <c r="E6" s="205"/>
      <c r="F6" s="205"/>
      <c r="G6" s="205"/>
      <c r="H6" s="205"/>
      <c r="I6" s="207"/>
      <c r="J6" s="205"/>
      <c r="K6" s="207"/>
    </row>
    <row r="7" spans="1:11" ht="15.95" customHeight="1">
      <c r="A7" s="124" t="s">
        <v>252</v>
      </c>
      <c r="B7" s="295">
        <v>1170.74</v>
      </c>
      <c r="C7" s="296">
        <v>102.6</v>
      </c>
      <c r="D7" s="295">
        <v>1642.9</v>
      </c>
      <c r="E7" s="296">
        <v>106.5</v>
      </c>
      <c r="F7" s="296" t="s">
        <v>37</v>
      </c>
      <c r="G7" s="296">
        <v>102.9</v>
      </c>
      <c r="H7" s="297">
        <v>2086.35</v>
      </c>
      <c r="I7" s="212">
        <v>101.8</v>
      </c>
      <c r="J7" s="297">
        <v>2138.03</v>
      </c>
      <c r="K7" s="212">
        <v>102.5</v>
      </c>
    </row>
    <row r="8" spans="1:11" ht="15.95" customHeight="1">
      <c r="A8" s="192" t="s">
        <v>20</v>
      </c>
      <c r="B8" s="35"/>
      <c r="C8" s="35"/>
      <c r="D8" s="35"/>
      <c r="E8" s="35"/>
      <c r="F8" s="35"/>
      <c r="G8" s="35"/>
      <c r="H8" s="35"/>
      <c r="I8" s="212"/>
      <c r="J8" s="35"/>
      <c r="K8" s="212"/>
    </row>
    <row r="9" spans="1:11" ht="15.95" customHeight="1">
      <c r="A9" s="14" t="s">
        <v>590</v>
      </c>
      <c r="B9" s="38"/>
      <c r="C9" s="38"/>
      <c r="D9" s="38"/>
      <c r="E9" s="38"/>
      <c r="F9" s="38"/>
      <c r="G9" s="38"/>
      <c r="H9" s="38"/>
      <c r="I9" s="213"/>
      <c r="J9" s="38"/>
      <c r="K9" s="213"/>
    </row>
    <row r="10" spans="1:11" ht="15.95" customHeight="1">
      <c r="A10" s="298" t="s">
        <v>725</v>
      </c>
      <c r="B10" s="194" t="s">
        <v>726</v>
      </c>
      <c r="C10" s="194">
        <v>102.8</v>
      </c>
      <c r="D10" s="195" t="s">
        <v>38</v>
      </c>
      <c r="E10" s="194">
        <v>106.5</v>
      </c>
      <c r="F10" s="195" t="s">
        <v>39</v>
      </c>
      <c r="G10" s="198">
        <v>103</v>
      </c>
      <c r="H10" s="299">
        <v>2018.48</v>
      </c>
      <c r="I10" s="213">
        <v>101.9</v>
      </c>
      <c r="J10" s="299">
        <v>2072.44</v>
      </c>
      <c r="K10" s="213">
        <f>J10/H10*100</f>
        <v>102.67329871982878</v>
      </c>
    </row>
    <row r="11" spans="1:11" ht="15.95" customHeight="1">
      <c r="A11" s="300" t="s">
        <v>682</v>
      </c>
      <c r="B11" s="194"/>
      <c r="C11" s="194"/>
      <c r="D11" s="195"/>
      <c r="E11" s="194"/>
      <c r="F11" s="195"/>
      <c r="G11" s="198"/>
      <c r="H11" s="299"/>
      <c r="I11" s="213"/>
      <c r="J11" s="299"/>
      <c r="K11" s="213"/>
    </row>
    <row r="12" spans="1:11" ht="15.95" customHeight="1">
      <c r="A12" s="301" t="s">
        <v>727</v>
      </c>
      <c r="B12" s="194" t="s">
        <v>728</v>
      </c>
      <c r="C12" s="194">
        <v>97.9</v>
      </c>
      <c r="D12" s="195" t="s">
        <v>40</v>
      </c>
      <c r="E12" s="198">
        <v>105.6</v>
      </c>
      <c r="F12" s="194" t="s">
        <v>41</v>
      </c>
      <c r="G12" s="194">
        <v>101.7</v>
      </c>
      <c r="H12" s="299">
        <v>3257.54</v>
      </c>
      <c r="I12" s="213">
        <v>100.9</v>
      </c>
      <c r="J12" s="299">
        <v>3297.43</v>
      </c>
      <c r="K12" s="213">
        <f>J12/H12*100</f>
        <v>101.2245436740608</v>
      </c>
    </row>
    <row r="13" spans="1:11" ht="15.95" customHeight="1">
      <c r="A13" s="300" t="s">
        <v>308</v>
      </c>
      <c r="B13" s="194"/>
      <c r="C13" s="194"/>
      <c r="D13" s="195"/>
      <c r="E13" s="198"/>
      <c r="F13" s="194"/>
      <c r="G13" s="194"/>
      <c r="H13" s="299"/>
      <c r="I13" s="213"/>
      <c r="J13" s="299"/>
      <c r="K13" s="213"/>
    </row>
    <row r="14" spans="1:11" ht="15.95" customHeight="1">
      <c r="A14" s="301" t="s">
        <v>729</v>
      </c>
      <c r="B14" s="194" t="s">
        <v>730</v>
      </c>
      <c r="C14" s="194">
        <v>101.9</v>
      </c>
      <c r="D14" s="195" t="s">
        <v>42</v>
      </c>
      <c r="E14" s="198">
        <v>104.6</v>
      </c>
      <c r="F14" s="194" t="s">
        <v>43</v>
      </c>
      <c r="G14" s="194">
        <v>102.2</v>
      </c>
      <c r="H14" s="299">
        <v>3348.8</v>
      </c>
      <c r="I14" s="213">
        <v>101.4</v>
      </c>
      <c r="J14" s="299">
        <v>3345.65</v>
      </c>
      <c r="K14" s="213">
        <f>J14/H14*100</f>
        <v>99.9059364548495</v>
      </c>
    </row>
    <row r="15" spans="1:11" ht="15.95" customHeight="1">
      <c r="A15" s="300" t="s">
        <v>303</v>
      </c>
      <c r="B15" s="194"/>
      <c r="C15" s="194"/>
      <c r="D15" s="195"/>
      <c r="E15" s="198"/>
      <c r="F15" s="194"/>
      <c r="G15" s="194"/>
      <c r="H15" s="299"/>
      <c r="I15" s="213"/>
      <c r="J15" s="299"/>
      <c r="K15" s="213"/>
    </row>
    <row r="16" spans="1:11" ht="15.95" customHeight="1">
      <c r="A16" s="301" t="s">
        <v>731</v>
      </c>
      <c r="B16" s="38">
        <v>2080.67</v>
      </c>
      <c r="C16" s="38">
        <v>101.1</v>
      </c>
      <c r="D16" s="195" t="s">
        <v>44</v>
      </c>
      <c r="E16" s="38">
        <v>107.5</v>
      </c>
      <c r="F16" s="194" t="s">
        <v>45</v>
      </c>
      <c r="G16" s="198">
        <v>102</v>
      </c>
      <c r="H16" s="299">
        <v>3476.02</v>
      </c>
      <c r="I16" s="213">
        <v>101.2</v>
      </c>
      <c r="J16" s="299">
        <v>3514.03</v>
      </c>
      <c r="K16" s="213">
        <f>J16/H16*100</f>
        <v>101.09349198220954</v>
      </c>
    </row>
    <row r="17" spans="1:11" ht="15.95" customHeight="1">
      <c r="A17" s="300" t="s">
        <v>555</v>
      </c>
      <c r="B17" s="38"/>
      <c r="C17" s="38"/>
      <c r="D17" s="195"/>
      <c r="E17" s="38"/>
      <c r="F17" s="194"/>
      <c r="G17" s="198"/>
      <c r="H17" s="299"/>
      <c r="I17" s="213"/>
      <c r="J17" s="299"/>
      <c r="K17" s="213"/>
    </row>
    <row r="18" spans="1:11" ht="15.95" customHeight="1">
      <c r="A18" s="298"/>
      <c r="B18" s="38"/>
      <c r="C18" s="38"/>
      <c r="D18" s="38"/>
      <c r="E18" s="38"/>
      <c r="F18" s="38"/>
      <c r="G18" s="38"/>
      <c r="H18" s="299"/>
      <c r="I18" s="213"/>
      <c r="J18" s="299"/>
      <c r="K18" s="213"/>
    </row>
    <row r="19" spans="1:11" ht="15.95" customHeight="1">
      <c r="A19" s="124" t="s">
        <v>325</v>
      </c>
      <c r="B19" s="199">
        <v>758.11</v>
      </c>
      <c r="C19" s="199">
        <v>101.5</v>
      </c>
      <c r="D19" s="302">
        <v>954.68</v>
      </c>
      <c r="E19" s="201">
        <v>104.8</v>
      </c>
      <c r="F19" s="200" t="s">
        <v>46</v>
      </c>
      <c r="G19" s="201">
        <v>103</v>
      </c>
      <c r="H19" s="297">
        <v>1182.83</v>
      </c>
      <c r="I19" s="212">
        <v>100.3</v>
      </c>
      <c r="J19" s="297">
        <v>1200</v>
      </c>
      <c r="K19" s="212">
        <f>J19/H19*100</f>
        <v>101.45160335804808</v>
      </c>
    </row>
    <row r="20" spans="1:11" ht="15.95" customHeight="1">
      <c r="A20" s="303" t="s">
        <v>258</v>
      </c>
      <c r="B20" s="199"/>
      <c r="C20" s="199"/>
      <c r="D20" s="302"/>
      <c r="E20" s="201"/>
      <c r="F20" s="200"/>
      <c r="G20" s="201"/>
      <c r="H20" s="297"/>
      <c r="I20" s="304"/>
      <c r="J20" s="304"/>
      <c r="K20" s="212"/>
    </row>
    <row r="21" spans="1:11" ht="15">
      <c r="A21" s="3"/>
      <c r="B21" s="42"/>
      <c r="C21" s="42"/>
      <c r="D21" s="42"/>
      <c r="E21" s="42"/>
      <c r="F21" s="42"/>
      <c r="G21" s="42"/>
      <c r="H21" s="42"/>
      <c r="I21" s="215"/>
      <c r="J21" s="215"/>
      <c r="K21" s="214"/>
    </row>
    <row r="22" spans="1:11" ht="35.25" customHeight="1">
      <c r="A22" s="609" t="s">
        <v>987</v>
      </c>
      <c r="B22" s="609"/>
      <c r="C22" s="609"/>
      <c r="D22" s="609"/>
      <c r="E22" s="609"/>
      <c r="F22" s="609"/>
      <c r="G22" s="609"/>
      <c r="H22" s="609"/>
      <c r="I22" s="609"/>
      <c r="J22" s="609"/>
      <c r="K22" s="609"/>
    </row>
    <row r="23" spans="1:11" ht="32.25" customHeight="1">
      <c r="A23" s="608" t="s">
        <v>988</v>
      </c>
      <c r="B23" s="608"/>
      <c r="C23" s="608"/>
      <c r="D23" s="608"/>
      <c r="E23" s="608"/>
      <c r="F23" s="608"/>
      <c r="G23" s="608"/>
      <c r="H23" s="608"/>
      <c r="I23" s="608"/>
      <c r="J23" s="608"/>
      <c r="K23" s="608"/>
    </row>
    <row r="25" ht="15">
      <c r="N25" s="305"/>
    </row>
  </sheetData>
  <mergeCells count="3">
    <mergeCell ref="A4:A5"/>
    <mergeCell ref="A22:K22"/>
    <mergeCell ref="A23:K23"/>
  </mergeCells>
  <printOptions/>
  <pageMargins left="0.984251968503937" right="0.984251968503937" top="0.7874015748031497" bottom="0.7874015748031497" header="0.31496062992125984" footer="0.31496062992125984"/>
  <pageSetup fitToHeight="1" fitToWidth="1" horizontalDpi="600" verticalDpi="600" orientation="landscape" paperSize="9" scale="77" r:id="rId1"/>
  <headerFooter>
    <oddFooter>&amp;R&amp;"Arial,Normalny"&amp;10 61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Layout" workbookViewId="0" topLeftCell="A25">
      <selection activeCell="E31" sqref="E31"/>
    </sheetView>
  </sheetViews>
  <sheetFormatPr defaultColWidth="9.140625" defaultRowHeight="15"/>
  <cols>
    <col min="1" max="1" width="27.421875" style="46" customWidth="1"/>
    <col min="2" max="5" width="14.7109375" style="46" customWidth="1"/>
    <col min="6" max="16384" width="9.140625" style="46" customWidth="1"/>
  </cols>
  <sheetData>
    <row r="1" spans="1:5" ht="27.95" customHeight="1">
      <c r="A1" s="584" t="s">
        <v>732</v>
      </c>
      <c r="B1" s="584"/>
      <c r="C1" s="584"/>
      <c r="D1" s="584"/>
      <c r="E1" s="584"/>
    </row>
    <row r="2" spans="1:8" ht="27.95" customHeight="1">
      <c r="A2" s="579" t="s">
        <v>733</v>
      </c>
      <c r="B2" s="579"/>
      <c r="C2" s="579"/>
      <c r="D2" s="579"/>
      <c r="E2" s="579"/>
      <c r="F2" s="47"/>
      <c r="G2" s="47"/>
      <c r="H2" s="47"/>
    </row>
    <row r="3" spans="1:8" ht="9.95" customHeight="1">
      <c r="A3" s="97"/>
      <c r="B3" s="97"/>
      <c r="C3" s="97"/>
      <c r="D3" s="97"/>
      <c r="E3" s="97"/>
      <c r="F3" s="47"/>
      <c r="G3" s="47"/>
      <c r="H3" s="47"/>
    </row>
    <row r="4" spans="1:5" ht="46.5" customHeight="1">
      <c r="A4" s="592" t="s">
        <v>602</v>
      </c>
      <c r="B4" s="589" t="s">
        <v>689</v>
      </c>
      <c r="C4" s="590"/>
      <c r="D4" s="589" t="s">
        <v>690</v>
      </c>
      <c r="E4" s="591"/>
    </row>
    <row r="5" spans="1:5" ht="33.75" customHeight="1">
      <c r="A5" s="593"/>
      <c r="B5" s="50" t="s">
        <v>734</v>
      </c>
      <c r="C5" s="50" t="s">
        <v>560</v>
      </c>
      <c r="D5" s="50" t="s">
        <v>734</v>
      </c>
      <c r="E5" s="81" t="s">
        <v>560</v>
      </c>
    </row>
    <row r="6" spans="1:5" ht="25.5">
      <c r="A6" s="216" t="s">
        <v>735</v>
      </c>
      <c r="B6" s="306">
        <v>2072.44</v>
      </c>
      <c r="C6" s="83">
        <f>B6/2018.48*100</f>
        <v>102.67329871982878</v>
      </c>
      <c r="D6" s="307">
        <v>2182.45</v>
      </c>
      <c r="E6" s="217">
        <f>D6/2131.7*100</f>
        <v>102.38072899563728</v>
      </c>
    </row>
    <row r="7" spans="1:8" ht="15" customHeight="1">
      <c r="A7" s="61" t="s">
        <v>693</v>
      </c>
      <c r="B7" s="62"/>
      <c r="C7" s="62"/>
      <c r="D7" s="218"/>
      <c r="E7" s="308"/>
      <c r="H7" s="63"/>
    </row>
    <row r="8" spans="1:8" ht="15" customHeight="1">
      <c r="A8" s="61"/>
      <c r="B8" s="64"/>
      <c r="C8" s="64"/>
      <c r="D8" s="219"/>
      <c r="E8" s="120"/>
      <c r="H8" s="63"/>
    </row>
    <row r="9" spans="1:8" ht="15" customHeight="1">
      <c r="A9" s="75" t="s">
        <v>736</v>
      </c>
      <c r="B9" s="306">
        <v>2072.45</v>
      </c>
      <c r="C9" s="83">
        <f>B9/2018.49*100</f>
        <v>102.67328547577644</v>
      </c>
      <c r="D9" s="307">
        <v>2182.45</v>
      </c>
      <c r="E9" s="120">
        <f>D9/2131.7*100</f>
        <v>102.38072899563728</v>
      </c>
      <c r="H9" s="63"/>
    </row>
    <row r="10" spans="1:8" ht="15" customHeight="1">
      <c r="A10" s="67" t="s">
        <v>695</v>
      </c>
      <c r="B10" s="64"/>
      <c r="C10" s="64"/>
      <c r="D10" s="219"/>
      <c r="E10" s="120"/>
      <c r="H10" s="63"/>
    </row>
    <row r="11" spans="1:8" ht="15" customHeight="1">
      <c r="A11" s="67"/>
      <c r="B11" s="76"/>
      <c r="C11" s="76"/>
      <c r="D11" s="76"/>
      <c r="E11" s="84"/>
      <c r="H11" s="63"/>
    </row>
    <row r="12" spans="1:5" ht="15" customHeight="1">
      <c r="A12" s="69" t="s">
        <v>4</v>
      </c>
      <c r="B12" s="309">
        <v>2100.05</v>
      </c>
      <c r="C12" s="310">
        <f>B12/2041.568*100</f>
        <v>102.86456292418377</v>
      </c>
      <c r="D12" s="309">
        <v>2183.63</v>
      </c>
      <c r="E12" s="310">
        <f>D12/2124.93*100</f>
        <v>102.76244393932978</v>
      </c>
    </row>
    <row r="13" spans="1:5" ht="15" customHeight="1">
      <c r="A13" s="69" t="s">
        <v>0</v>
      </c>
      <c r="B13" s="309">
        <v>1911.46</v>
      </c>
      <c r="C13" s="310">
        <f>B13/1860.33*100</f>
        <v>102.74843710524478</v>
      </c>
      <c r="D13" s="309">
        <v>2042.28</v>
      </c>
      <c r="E13" s="310">
        <f>D13/1995.36*100</f>
        <v>102.35145537647344</v>
      </c>
    </row>
    <row r="14" spans="1:5" ht="15" customHeight="1">
      <c r="A14" s="69" t="s">
        <v>5</v>
      </c>
      <c r="B14" s="309">
        <v>1870.57</v>
      </c>
      <c r="C14" s="310">
        <f>B14/1812.13*100</f>
        <v>103.22493419346293</v>
      </c>
      <c r="D14" s="309">
        <v>1985.78</v>
      </c>
      <c r="E14" s="310">
        <f>D14/1935.04*100</f>
        <v>102.62216801719862</v>
      </c>
    </row>
    <row r="15" spans="1:5" ht="15" customHeight="1">
      <c r="A15" s="69" t="s">
        <v>6</v>
      </c>
      <c r="B15" s="309">
        <v>1905.03</v>
      </c>
      <c r="C15" s="310">
        <f>B15/1845.46*100</f>
        <v>103.22792149382809</v>
      </c>
      <c r="D15" s="309">
        <v>2005.06</v>
      </c>
      <c r="E15" s="310">
        <f>D15/1949.1*100</f>
        <v>102.87106869837362</v>
      </c>
    </row>
    <row r="16" spans="1:5" ht="15" customHeight="1">
      <c r="A16" s="69" t="s">
        <v>7</v>
      </c>
      <c r="B16" s="309">
        <v>1927.25</v>
      </c>
      <c r="C16" s="310">
        <f>B16/1876.11*100</f>
        <v>102.72585296171334</v>
      </c>
      <c r="D16" s="309">
        <v>2030.22</v>
      </c>
      <c r="E16" s="310">
        <f>D16/1982.04*100</f>
        <v>102.43082884301022</v>
      </c>
    </row>
    <row r="17" spans="1:5" ht="15" customHeight="1">
      <c r="A17" s="69" t="s">
        <v>8</v>
      </c>
      <c r="B17" s="309">
        <v>2029.96</v>
      </c>
      <c r="C17" s="310">
        <f>B17/1975.4*100</f>
        <v>102.76197225878303</v>
      </c>
      <c r="D17" s="309">
        <v>2128.34</v>
      </c>
      <c r="E17" s="310">
        <f>D17/2077.1*100</f>
        <v>102.46690096769535</v>
      </c>
    </row>
    <row r="18" spans="1:5" ht="15" customHeight="1">
      <c r="A18" s="69" t="s">
        <v>9</v>
      </c>
      <c r="B18" s="309">
        <v>2141.25</v>
      </c>
      <c r="C18" s="310">
        <f>B18/2085.81*100</f>
        <v>102.65796021689415</v>
      </c>
      <c r="D18" s="309">
        <v>2266.54</v>
      </c>
      <c r="E18" s="310">
        <f>D18/2213.64*100</f>
        <v>102.38972913391518</v>
      </c>
    </row>
    <row r="19" spans="1:5" ht="15" customHeight="1">
      <c r="A19" s="69" t="s">
        <v>10</v>
      </c>
      <c r="B19" s="309">
        <v>2014.89</v>
      </c>
      <c r="C19" s="310">
        <f>B19/1985.35*100</f>
        <v>101.48789885914324</v>
      </c>
      <c r="D19" s="309">
        <v>2097.82</v>
      </c>
      <c r="E19" s="310">
        <f>D19/2070.22*100</f>
        <v>101.33319164146808</v>
      </c>
    </row>
    <row r="20" spans="1:5" ht="15" customHeight="1">
      <c r="A20" s="69" t="s">
        <v>11</v>
      </c>
      <c r="B20" s="309">
        <v>1811.81</v>
      </c>
      <c r="C20" s="310">
        <f>B20/1755.86*100</f>
        <v>103.18647272561594</v>
      </c>
      <c r="D20" s="309">
        <v>1927.28</v>
      </c>
      <c r="E20" s="310">
        <f>D20/1876.36*100</f>
        <v>102.71376494915687</v>
      </c>
    </row>
    <row r="21" spans="1:5" ht="15" customHeight="1">
      <c r="A21" s="69" t="s">
        <v>12</v>
      </c>
      <c r="B21" s="309">
        <v>1890.15</v>
      </c>
      <c r="C21" s="310">
        <f>B21/1831.95*100</f>
        <v>103.17694260214525</v>
      </c>
      <c r="D21" s="309">
        <v>1975.74</v>
      </c>
      <c r="E21" s="310">
        <f>D21/1919.1*100</f>
        <v>102.95138346099735</v>
      </c>
    </row>
    <row r="22" spans="1:5" ht="15" customHeight="1">
      <c r="A22" s="69" t="s">
        <v>13</v>
      </c>
      <c r="B22" s="309">
        <v>2043.95</v>
      </c>
      <c r="C22" s="310">
        <f>B22/1991.44*100</f>
        <v>102.63678544169044</v>
      </c>
      <c r="D22" s="309">
        <v>2148.98</v>
      </c>
      <c r="E22" s="310">
        <f>D22/2099.43*100</f>
        <v>102.3601644255822</v>
      </c>
    </row>
    <row r="23" spans="1:5" ht="15" customHeight="1">
      <c r="A23" s="69" t="s">
        <v>14</v>
      </c>
      <c r="B23" s="309">
        <v>2532.76</v>
      </c>
      <c r="C23" s="310">
        <f>B23/2477.08*100</f>
        <v>102.24780790285337</v>
      </c>
      <c r="D23" s="309">
        <v>2645.19</v>
      </c>
      <c r="E23" s="310">
        <f>D23/2589.6*100</f>
        <v>102.14666357738646</v>
      </c>
    </row>
    <row r="24" spans="1:5" ht="15" customHeight="1">
      <c r="A24" s="69" t="s">
        <v>15</v>
      </c>
      <c r="B24" s="309">
        <v>1866.45</v>
      </c>
      <c r="C24" s="310">
        <f>B24/1818.86*100</f>
        <v>102.61647405517742</v>
      </c>
      <c r="D24" s="309">
        <v>1972.85</v>
      </c>
      <c r="E24" s="310">
        <f>D24/1929.25*100</f>
        <v>102.25994557470518</v>
      </c>
    </row>
    <row r="25" spans="1:5" ht="15" customHeight="1">
      <c r="A25" s="69" t="s">
        <v>1</v>
      </c>
      <c r="B25" s="309">
        <v>1880.42</v>
      </c>
      <c r="C25" s="310">
        <f>B25/1824.03*100</f>
        <v>103.09150617040291</v>
      </c>
      <c r="D25" s="309">
        <v>2002.83</v>
      </c>
      <c r="E25" s="310">
        <f>D25/1951.93*100</f>
        <v>102.60767548016578</v>
      </c>
    </row>
    <row r="26" spans="1:5" ht="15" customHeight="1">
      <c r="A26" s="69" t="s">
        <v>2</v>
      </c>
      <c r="B26" s="309">
        <v>1991.99</v>
      </c>
      <c r="C26" s="310">
        <f>B26/1935.97*100</f>
        <v>102.89363988078328</v>
      </c>
      <c r="D26" s="309">
        <v>2128.21</v>
      </c>
      <c r="E26" s="310">
        <f>D26/2075.01*100</f>
        <v>102.56384306581654</v>
      </c>
    </row>
    <row r="27" spans="1:5" ht="15" customHeight="1">
      <c r="A27" s="69" t="s">
        <v>3</v>
      </c>
      <c r="B27" s="309">
        <v>1995.19</v>
      </c>
      <c r="C27" s="310">
        <f>B27/1945.96*100</f>
        <v>102.52985672881252</v>
      </c>
      <c r="D27" s="309">
        <v>2094.54</v>
      </c>
      <c r="E27" s="310">
        <f>D27/2049.25*100</f>
        <v>102.21007685738685</v>
      </c>
    </row>
    <row r="28" spans="1:5" ht="7.5" customHeight="1">
      <c r="A28" s="69"/>
      <c r="B28" s="223"/>
      <c r="C28" s="223"/>
      <c r="D28" s="224"/>
      <c r="E28" s="56"/>
    </row>
    <row r="29" spans="1:5" ht="74.25" customHeight="1">
      <c r="A29" s="609" t="s">
        <v>989</v>
      </c>
      <c r="B29" s="609"/>
      <c r="C29" s="609"/>
      <c r="D29" s="609"/>
      <c r="E29" s="609"/>
    </row>
    <row r="30" spans="1:5" ht="76.5" customHeight="1">
      <c r="A30" s="608" t="s">
        <v>990</v>
      </c>
      <c r="B30" s="608"/>
      <c r="C30" s="608"/>
      <c r="D30" s="608"/>
      <c r="E30" s="608"/>
    </row>
    <row r="31" ht="15">
      <c r="A31" s="113"/>
    </row>
    <row r="32" ht="15">
      <c r="A32" s="113"/>
    </row>
    <row r="33" ht="15">
      <c r="A33" s="113"/>
    </row>
    <row r="34" ht="15" customHeight="1">
      <c r="A34" s="113"/>
    </row>
    <row r="35" ht="15" customHeight="1">
      <c r="A35" s="311"/>
    </row>
  </sheetData>
  <mergeCells count="7">
    <mergeCell ref="A29:E29"/>
    <mergeCell ref="A30:E30"/>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62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19">
      <selection activeCell="E31" sqref="E31"/>
    </sheetView>
  </sheetViews>
  <sheetFormatPr defaultColWidth="9.140625" defaultRowHeight="15"/>
  <cols>
    <col min="1" max="1" width="13.140625" style="46" customWidth="1"/>
    <col min="2" max="2" width="14.421875" style="46" customWidth="1"/>
    <col min="3" max="6" width="14.7109375" style="46" customWidth="1"/>
    <col min="7" max="16384" width="9.140625" style="46" customWidth="1"/>
  </cols>
  <sheetData>
    <row r="1" spans="1:6" ht="27.95" customHeight="1">
      <c r="A1" s="584" t="s">
        <v>737</v>
      </c>
      <c r="B1" s="584"/>
      <c r="C1" s="584"/>
      <c r="D1" s="584"/>
      <c r="E1" s="584"/>
      <c r="F1" s="584"/>
    </row>
    <row r="2" spans="1:9" ht="27.95" customHeight="1">
      <c r="A2" s="579" t="s">
        <v>738</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0" t="s">
        <v>734</v>
      </c>
      <c r="D5" s="50" t="s">
        <v>560</v>
      </c>
      <c r="E5" s="50" t="s">
        <v>734</v>
      </c>
      <c r="F5" s="81" t="s">
        <v>560</v>
      </c>
    </row>
    <row r="6" spans="1:6" ht="28.5" customHeight="1">
      <c r="A6" s="629" t="s">
        <v>739</v>
      </c>
      <c r="B6" s="630"/>
      <c r="C6" s="306">
        <v>1665.34</v>
      </c>
      <c r="D6" s="83">
        <v>103.02389171399228</v>
      </c>
      <c r="E6" s="307">
        <v>1897.54</v>
      </c>
      <c r="F6" s="217">
        <v>102.21942101123717</v>
      </c>
    </row>
    <row r="7" spans="1:9" ht="15" customHeight="1">
      <c r="A7" s="61" t="s">
        <v>607</v>
      </c>
      <c r="B7" s="56"/>
      <c r="C7" s="62"/>
      <c r="D7" s="101"/>
      <c r="E7" s="218"/>
      <c r="F7" s="308"/>
      <c r="I7" s="63"/>
    </row>
    <row r="8" spans="1:9" ht="15" customHeight="1">
      <c r="A8" s="61"/>
      <c r="B8" s="56"/>
      <c r="C8" s="64"/>
      <c r="D8" s="83"/>
      <c r="E8" s="219"/>
      <c r="F8" s="120"/>
      <c r="I8" s="63"/>
    </row>
    <row r="9" spans="1:9" ht="15" customHeight="1">
      <c r="A9" s="75" t="s">
        <v>740</v>
      </c>
      <c r="B9" s="56"/>
      <c r="C9" s="306">
        <v>1665.4</v>
      </c>
      <c r="D9" s="83">
        <v>103.023779476901</v>
      </c>
      <c r="E9" s="307">
        <v>1897.54</v>
      </c>
      <c r="F9" s="120">
        <v>102.21942101123717</v>
      </c>
      <c r="I9" s="63"/>
    </row>
    <row r="10" spans="1:9" ht="15" customHeight="1">
      <c r="A10" s="67" t="s">
        <v>698</v>
      </c>
      <c r="B10" s="56"/>
      <c r="C10" s="64"/>
      <c r="D10" s="83"/>
      <c r="E10" s="219"/>
      <c r="F10" s="120"/>
      <c r="I10" s="63"/>
    </row>
    <row r="11" spans="1:9" ht="15" customHeight="1">
      <c r="A11" s="67"/>
      <c r="B11" s="56"/>
      <c r="C11" s="312"/>
      <c r="D11" s="313"/>
      <c r="E11" s="312"/>
      <c r="F11" s="313"/>
      <c r="I11" s="63"/>
    </row>
    <row r="12" spans="1:6" ht="15" customHeight="1">
      <c r="A12" s="595" t="s">
        <v>4</v>
      </c>
      <c r="B12" s="596"/>
      <c r="C12" s="309">
        <v>1778.49</v>
      </c>
      <c r="D12" s="310">
        <v>102.10585540328738</v>
      </c>
      <c r="E12" s="309">
        <v>1944.43</v>
      </c>
      <c r="F12" s="310">
        <v>102.56893122965825</v>
      </c>
    </row>
    <row r="13" spans="1:6" ht="15" customHeight="1">
      <c r="A13" s="595" t="s">
        <v>0</v>
      </c>
      <c r="B13" s="596" t="s">
        <v>0</v>
      </c>
      <c r="C13" s="309">
        <v>1496.64</v>
      </c>
      <c r="D13" s="310">
        <v>103.69641582772692</v>
      </c>
      <c r="E13" s="309">
        <v>1745.18</v>
      </c>
      <c r="F13" s="310">
        <v>101.98037737613146</v>
      </c>
    </row>
    <row r="14" spans="1:6" ht="15" customHeight="1">
      <c r="A14" s="595" t="s">
        <v>5</v>
      </c>
      <c r="B14" s="596"/>
      <c r="C14" s="309">
        <v>1557.53</v>
      </c>
      <c r="D14" s="310">
        <v>104.51047097583724</v>
      </c>
      <c r="E14" s="309">
        <v>1659.76</v>
      </c>
      <c r="F14" s="310">
        <v>102.49734456438506</v>
      </c>
    </row>
    <row r="15" spans="1:6" ht="15" customHeight="1">
      <c r="A15" s="595" t="s">
        <v>6</v>
      </c>
      <c r="B15" s="596"/>
      <c r="C15" s="309">
        <v>1625.05</v>
      </c>
      <c r="D15" s="310">
        <v>104.18389655017664</v>
      </c>
      <c r="E15" s="309">
        <v>1732.2</v>
      </c>
      <c r="F15" s="310">
        <v>102.31964700253407</v>
      </c>
    </row>
    <row r="16" spans="1:6" ht="15" customHeight="1">
      <c r="A16" s="595" t="s">
        <v>7</v>
      </c>
      <c r="B16" s="596"/>
      <c r="C16" s="309">
        <v>1445.27</v>
      </c>
      <c r="D16" s="310">
        <v>102.96806092860552</v>
      </c>
      <c r="E16" s="309">
        <v>1747.6</v>
      </c>
      <c r="F16" s="310">
        <v>102.30592257392239</v>
      </c>
    </row>
    <row r="17" spans="1:6" ht="15" customHeight="1">
      <c r="A17" s="595" t="s">
        <v>8</v>
      </c>
      <c r="B17" s="596"/>
      <c r="C17" s="309">
        <v>1722.75</v>
      </c>
      <c r="D17" s="310">
        <v>103.35177097331541</v>
      </c>
      <c r="E17" s="309">
        <v>1845.08</v>
      </c>
      <c r="F17" s="310">
        <v>102.3021135975515</v>
      </c>
    </row>
    <row r="18" spans="1:6" ht="15" customHeight="1">
      <c r="A18" s="595" t="s">
        <v>9</v>
      </c>
      <c r="B18" s="596"/>
      <c r="C18" s="309">
        <v>1569.9</v>
      </c>
      <c r="D18" s="310">
        <v>102.10798119012156</v>
      </c>
      <c r="E18" s="309">
        <v>1872.84</v>
      </c>
      <c r="F18" s="310">
        <v>102.60225492237063</v>
      </c>
    </row>
    <row r="19" spans="1:6" ht="15" customHeight="1">
      <c r="A19" s="595" t="s">
        <v>10</v>
      </c>
      <c r="B19" s="596"/>
      <c r="C19" s="309">
        <v>1645.13</v>
      </c>
      <c r="D19" s="310">
        <v>99.80646961755</v>
      </c>
      <c r="E19" s="309">
        <v>1834.87</v>
      </c>
      <c r="F19" s="310">
        <v>101.91910327052969</v>
      </c>
    </row>
    <row r="20" spans="1:6" ht="15" customHeight="1">
      <c r="A20" s="595" t="s">
        <v>11</v>
      </c>
      <c r="B20" s="596"/>
      <c r="C20" s="309">
        <v>1424.4</v>
      </c>
      <c r="D20" s="310">
        <v>104.67756751791293</v>
      </c>
      <c r="E20" s="309">
        <v>1635.99</v>
      </c>
      <c r="F20" s="310">
        <v>102.22637406583519</v>
      </c>
    </row>
    <row r="21" spans="1:6" ht="15" customHeight="1">
      <c r="A21" s="595" t="s">
        <v>12</v>
      </c>
      <c r="B21" s="596"/>
      <c r="C21" s="309">
        <v>1570.48</v>
      </c>
      <c r="D21" s="310">
        <v>103.3536906391492</v>
      </c>
      <c r="E21" s="309">
        <v>1691.56</v>
      </c>
      <c r="F21" s="310">
        <v>102.87041767009657</v>
      </c>
    </row>
    <row r="22" spans="1:6" ht="15" customHeight="1">
      <c r="A22" s="595" t="s">
        <v>13</v>
      </c>
      <c r="B22" s="596"/>
      <c r="C22" s="309">
        <v>1661.9</v>
      </c>
      <c r="D22" s="310">
        <v>102.1306146027298</v>
      </c>
      <c r="E22" s="309">
        <v>1870.16</v>
      </c>
      <c r="F22" s="310">
        <v>102.59651201702849</v>
      </c>
    </row>
    <row r="23" spans="1:6" ht="15" customHeight="1">
      <c r="A23" s="595" t="s">
        <v>14</v>
      </c>
      <c r="B23" s="596"/>
      <c r="C23" s="309">
        <v>2118.88</v>
      </c>
      <c r="D23" s="310">
        <v>102.33663366336634</v>
      </c>
      <c r="E23" s="309">
        <v>2371.05</v>
      </c>
      <c r="F23" s="310">
        <v>101.76398635163847</v>
      </c>
    </row>
    <row r="24" spans="1:6" ht="15" customHeight="1">
      <c r="A24" s="595" t="s">
        <v>15</v>
      </c>
      <c r="B24" s="596"/>
      <c r="C24" s="309">
        <v>1481.4</v>
      </c>
      <c r="D24" s="310">
        <v>103.74676097765949</v>
      </c>
      <c r="E24" s="309">
        <v>1675.44</v>
      </c>
      <c r="F24" s="310">
        <v>102.04959221337685</v>
      </c>
    </row>
    <row r="25" spans="1:6" ht="15" customHeight="1">
      <c r="A25" s="595" t="s">
        <v>1</v>
      </c>
      <c r="B25" s="596"/>
      <c r="C25" s="309">
        <v>1527.68</v>
      </c>
      <c r="D25" s="310">
        <v>103.71003984983334</v>
      </c>
      <c r="E25" s="309">
        <v>1686.31</v>
      </c>
      <c r="F25" s="310">
        <v>102.35072045060028</v>
      </c>
    </row>
    <row r="26" spans="1:6" ht="15" customHeight="1">
      <c r="A26" s="595" t="s">
        <v>2</v>
      </c>
      <c r="B26" s="596"/>
      <c r="C26" s="309">
        <v>1604.02</v>
      </c>
      <c r="D26" s="310">
        <v>103.25799370417339</v>
      </c>
      <c r="E26" s="309">
        <v>1807.26</v>
      </c>
      <c r="F26" s="310">
        <v>102.11143065388244</v>
      </c>
    </row>
    <row r="27" spans="1:6" ht="15" customHeight="1">
      <c r="A27" s="595" t="s">
        <v>3</v>
      </c>
      <c r="B27" s="596"/>
      <c r="C27" s="309">
        <v>1626.19</v>
      </c>
      <c r="D27" s="310">
        <v>103.15649917852363</v>
      </c>
      <c r="E27" s="309">
        <v>1821.19</v>
      </c>
      <c r="F27" s="310">
        <v>101.98517141353165</v>
      </c>
    </row>
    <row r="28" spans="1:6" ht="12.75" customHeight="1">
      <c r="A28" s="69"/>
      <c r="B28" s="69"/>
      <c r="C28" s="223"/>
      <c r="D28" s="223"/>
      <c r="E28" s="224"/>
      <c r="F28" s="56"/>
    </row>
    <row r="29" spans="1:6" ht="63" customHeight="1">
      <c r="A29" s="609" t="s">
        <v>991</v>
      </c>
      <c r="B29" s="609"/>
      <c r="C29" s="609"/>
      <c r="D29" s="609"/>
      <c r="E29" s="609"/>
      <c r="F29" s="609"/>
    </row>
    <row r="30" spans="1:6" ht="60" customHeight="1">
      <c r="A30" s="608" t="s">
        <v>992</v>
      </c>
      <c r="B30" s="608"/>
      <c r="C30" s="608"/>
      <c r="D30" s="608"/>
      <c r="E30" s="608"/>
      <c r="F30" s="608"/>
    </row>
    <row r="31" ht="43.5" customHeight="1">
      <c r="A31" s="113"/>
    </row>
    <row r="32" ht="43.5" customHeight="1">
      <c r="A32" s="113"/>
    </row>
    <row r="33" ht="15" customHeight="1">
      <c r="A33" s="113"/>
    </row>
  </sheetData>
  <mergeCells count="24">
    <mergeCell ref="A4:B5"/>
    <mergeCell ref="C4:D4"/>
    <mergeCell ref="E4:F4"/>
    <mergeCell ref="A1:F1"/>
    <mergeCell ref="A2:F2"/>
    <mergeCell ref="A21:B21"/>
    <mergeCell ref="A6:B6"/>
    <mergeCell ref="A12:B12"/>
    <mergeCell ref="A13:B13"/>
    <mergeCell ref="A14:B14"/>
    <mergeCell ref="A15:B15"/>
    <mergeCell ref="A16:B16"/>
    <mergeCell ref="A17:B17"/>
    <mergeCell ref="A18:B18"/>
    <mergeCell ref="A19:B19"/>
    <mergeCell ref="A20:B20"/>
    <mergeCell ref="A29:F29"/>
    <mergeCell ref="A30:F30"/>
    <mergeCell ref="A22:B22"/>
    <mergeCell ref="A23:B23"/>
    <mergeCell ref="A24:B24"/>
    <mergeCell ref="A25:B25"/>
    <mergeCell ref="A26:B26"/>
    <mergeCell ref="A27:B2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25">
      <selection activeCell="E31" sqref="E31"/>
    </sheetView>
  </sheetViews>
  <sheetFormatPr defaultColWidth="9.140625" defaultRowHeight="15"/>
  <cols>
    <col min="1" max="1" width="22.140625" style="46" customWidth="1"/>
    <col min="2" max="5" width="16.28125" style="46" customWidth="1"/>
    <col min="6" max="16384" width="9.140625" style="46" customWidth="1"/>
  </cols>
  <sheetData>
    <row r="1" spans="1:5" ht="15.95" customHeight="1">
      <c r="A1" s="5" t="s">
        <v>225</v>
      </c>
      <c r="B1" s="5"/>
      <c r="C1" s="5"/>
      <c r="D1" s="5"/>
      <c r="E1" s="5"/>
    </row>
    <row r="2" spans="1:5" ht="15.95" customHeight="1">
      <c r="A2" s="584" t="s">
        <v>600</v>
      </c>
      <c r="B2" s="584"/>
      <c r="C2" s="584"/>
      <c r="D2" s="584"/>
      <c r="E2" s="584"/>
    </row>
    <row r="3" spans="1:5" ht="15.95" customHeight="1">
      <c r="A3" s="585" t="s">
        <v>226</v>
      </c>
      <c r="B3" s="586"/>
      <c r="C3" s="586"/>
      <c r="D3" s="586"/>
      <c r="E3" s="586"/>
    </row>
    <row r="4" spans="1:8" ht="15.95" customHeight="1">
      <c r="A4" s="588" t="s">
        <v>601</v>
      </c>
      <c r="B4" s="588"/>
      <c r="C4" s="588"/>
      <c r="D4" s="588"/>
      <c r="E4" s="588"/>
      <c r="F4" s="47"/>
      <c r="G4" s="47"/>
      <c r="H4" s="47"/>
    </row>
    <row r="5" spans="1:8" s="48" customFormat="1" ht="9.95" customHeight="1">
      <c r="A5" s="7"/>
      <c r="B5" s="7"/>
      <c r="C5" s="7"/>
      <c r="D5" s="7"/>
      <c r="E5" s="7"/>
      <c r="F5" s="47"/>
      <c r="G5" s="47"/>
      <c r="H5" s="47"/>
    </row>
    <row r="6" spans="1:5" s="48" customFormat="1" ht="46.5" customHeight="1">
      <c r="A6" s="592" t="s">
        <v>602</v>
      </c>
      <c r="B6" s="589" t="s">
        <v>603</v>
      </c>
      <c r="C6" s="590"/>
      <c r="D6" s="589" t="s">
        <v>604</v>
      </c>
      <c r="E6" s="591"/>
    </row>
    <row r="7" spans="1:5" ht="33.75" customHeight="1">
      <c r="A7" s="593"/>
      <c r="B7" s="49" t="s">
        <v>605</v>
      </c>
      <c r="C7" s="50" t="s">
        <v>560</v>
      </c>
      <c r="D7" s="50" t="s">
        <v>605</v>
      </c>
      <c r="E7" s="51" t="s">
        <v>560</v>
      </c>
    </row>
    <row r="8" spans="1:5" ht="15">
      <c r="A8" s="52"/>
      <c r="B8" s="53"/>
      <c r="C8" s="54"/>
      <c r="D8" s="55"/>
      <c r="E8" s="56"/>
    </row>
    <row r="9" spans="1:5" ht="15" customHeight="1">
      <c r="A9" s="57" t="s">
        <v>606</v>
      </c>
      <c r="B9" s="58">
        <v>7358225</v>
      </c>
      <c r="C9" s="59">
        <v>100.6</v>
      </c>
      <c r="D9" s="58">
        <v>5230607</v>
      </c>
      <c r="E9" s="60">
        <v>102.2</v>
      </c>
    </row>
    <row r="10" spans="1:8" ht="15" customHeight="1">
      <c r="A10" s="61" t="s">
        <v>607</v>
      </c>
      <c r="B10" s="62"/>
      <c r="C10" s="56"/>
      <c r="D10" s="62"/>
      <c r="E10" s="56"/>
      <c r="H10" s="63"/>
    </row>
    <row r="11" spans="1:8" ht="15" customHeight="1">
      <c r="A11" s="61"/>
      <c r="B11" s="64"/>
      <c r="C11" s="65"/>
      <c r="D11" s="64"/>
      <c r="E11" s="65"/>
      <c r="H11" s="63"/>
    </row>
    <row r="12" spans="1:8" ht="15" customHeight="1">
      <c r="A12" s="66" t="s">
        <v>608</v>
      </c>
      <c r="B12" s="58">
        <v>7358112</v>
      </c>
      <c r="C12" s="65">
        <v>100.6</v>
      </c>
      <c r="D12" s="58">
        <v>5230607</v>
      </c>
      <c r="E12" s="60">
        <v>102.2</v>
      </c>
      <c r="H12" s="63"/>
    </row>
    <row r="13" spans="1:8" ht="15" customHeight="1">
      <c r="A13" s="67" t="s">
        <v>609</v>
      </c>
      <c r="B13" s="64"/>
      <c r="C13" s="65"/>
      <c r="D13" s="64"/>
      <c r="E13" s="65"/>
      <c r="H13" s="63"/>
    </row>
    <row r="14" spans="1:8" ht="15">
      <c r="A14" s="67"/>
      <c r="B14" s="64"/>
      <c r="C14" s="65"/>
      <c r="D14" s="68"/>
      <c r="E14" s="65"/>
      <c r="H14" s="63"/>
    </row>
    <row r="15" spans="1:5" ht="15" customHeight="1">
      <c r="A15" s="69" t="s">
        <v>4</v>
      </c>
      <c r="B15" s="70">
        <v>604580</v>
      </c>
      <c r="C15" s="71">
        <v>100.8</v>
      </c>
      <c r="D15" s="72">
        <v>439622</v>
      </c>
      <c r="E15" s="71">
        <v>102.3</v>
      </c>
    </row>
    <row r="16" spans="1:5" ht="15" customHeight="1">
      <c r="A16" s="69" t="s">
        <v>0</v>
      </c>
      <c r="B16" s="70">
        <v>387160</v>
      </c>
      <c r="C16" s="71">
        <v>100.9</v>
      </c>
      <c r="D16" s="70">
        <v>262977</v>
      </c>
      <c r="E16" s="71">
        <v>102.6</v>
      </c>
    </row>
    <row r="17" spans="1:5" ht="15" customHeight="1">
      <c r="A17" s="69" t="s">
        <v>5</v>
      </c>
      <c r="B17" s="70">
        <v>356125</v>
      </c>
      <c r="C17" s="71">
        <v>100.9</v>
      </c>
      <c r="D17" s="70">
        <v>247302</v>
      </c>
      <c r="E17" s="71">
        <v>103.3</v>
      </c>
    </row>
    <row r="18" spans="1:5" ht="15" customHeight="1">
      <c r="A18" s="69" t="s">
        <v>6</v>
      </c>
      <c r="B18" s="70">
        <v>199818</v>
      </c>
      <c r="C18" s="71">
        <v>100.9</v>
      </c>
      <c r="D18" s="70">
        <v>138480</v>
      </c>
      <c r="E18" s="71">
        <v>102.9</v>
      </c>
    </row>
    <row r="19" spans="1:5" ht="15" customHeight="1">
      <c r="A19" s="69" t="s">
        <v>7</v>
      </c>
      <c r="B19" s="70">
        <v>512372</v>
      </c>
      <c r="C19" s="71">
        <v>100.5</v>
      </c>
      <c r="D19" s="70">
        <v>381096</v>
      </c>
      <c r="E19" s="71">
        <v>101.8</v>
      </c>
    </row>
    <row r="20" spans="1:5" ht="15" customHeight="1">
      <c r="A20" s="69" t="s">
        <v>8</v>
      </c>
      <c r="B20" s="70">
        <v>622432</v>
      </c>
      <c r="C20" s="71">
        <v>100.3</v>
      </c>
      <c r="D20" s="70">
        <v>439010</v>
      </c>
      <c r="E20" s="71">
        <v>101.9</v>
      </c>
    </row>
    <row r="21" spans="1:5" ht="15" customHeight="1">
      <c r="A21" s="69" t="s">
        <v>9</v>
      </c>
      <c r="B21" s="70">
        <v>953759</v>
      </c>
      <c r="C21" s="71">
        <v>100.8</v>
      </c>
      <c r="D21" s="70">
        <v>720849</v>
      </c>
      <c r="E21" s="71">
        <v>102</v>
      </c>
    </row>
    <row r="22" spans="1:5" ht="15" customHeight="1">
      <c r="A22" s="69" t="s">
        <v>10</v>
      </c>
      <c r="B22" s="70">
        <v>175503</v>
      </c>
      <c r="C22" s="71">
        <v>99</v>
      </c>
      <c r="D22" s="70">
        <v>129778</v>
      </c>
      <c r="E22" s="71">
        <v>100.1</v>
      </c>
    </row>
    <row r="23" spans="1:5" ht="15" customHeight="1">
      <c r="A23" s="69" t="s">
        <v>11</v>
      </c>
      <c r="B23" s="70">
        <v>380359</v>
      </c>
      <c r="C23" s="71">
        <v>100.5</v>
      </c>
      <c r="D23" s="70">
        <v>265898</v>
      </c>
      <c r="E23" s="71">
        <v>102.2</v>
      </c>
    </row>
    <row r="24" spans="1:5" ht="15" customHeight="1">
      <c r="A24" s="69" t="s">
        <v>12</v>
      </c>
      <c r="B24" s="70">
        <v>175122</v>
      </c>
      <c r="C24" s="71">
        <v>101.4</v>
      </c>
      <c r="D24" s="70">
        <v>130496</v>
      </c>
      <c r="E24" s="71">
        <v>102.7</v>
      </c>
    </row>
    <row r="25" spans="1:5" ht="15" customHeight="1">
      <c r="A25" s="69" t="s">
        <v>13</v>
      </c>
      <c r="B25" s="70">
        <v>416317</v>
      </c>
      <c r="C25" s="71">
        <v>100.8</v>
      </c>
      <c r="D25" s="70">
        <v>294975</v>
      </c>
      <c r="E25" s="71">
        <v>102.5</v>
      </c>
    </row>
    <row r="26" spans="1:5" ht="15" customHeight="1">
      <c r="A26" s="69" t="s">
        <v>14</v>
      </c>
      <c r="B26" s="70">
        <v>1115389</v>
      </c>
      <c r="C26" s="71">
        <v>100.3</v>
      </c>
      <c r="D26" s="70">
        <v>771693</v>
      </c>
      <c r="E26" s="71">
        <v>101.5</v>
      </c>
    </row>
    <row r="27" spans="1:5" ht="15" customHeight="1">
      <c r="A27" s="69" t="s">
        <v>15</v>
      </c>
      <c r="B27" s="70">
        <v>238328</v>
      </c>
      <c r="C27" s="71">
        <v>100.9</v>
      </c>
      <c r="D27" s="70">
        <v>169919</v>
      </c>
      <c r="E27" s="71">
        <v>102.4</v>
      </c>
    </row>
    <row r="28" spans="1:5" ht="15" customHeight="1">
      <c r="A28" s="69" t="s">
        <v>1</v>
      </c>
      <c r="B28" s="70">
        <v>250225</v>
      </c>
      <c r="C28" s="71">
        <v>100.6</v>
      </c>
      <c r="D28" s="70">
        <v>171598</v>
      </c>
      <c r="E28" s="71">
        <v>102.9</v>
      </c>
    </row>
    <row r="29" spans="1:5" ht="15" customHeight="1">
      <c r="A29" s="69" t="s">
        <v>2</v>
      </c>
      <c r="B29" s="70">
        <v>636842</v>
      </c>
      <c r="C29" s="71">
        <v>100.8</v>
      </c>
      <c r="D29" s="70">
        <v>426588</v>
      </c>
      <c r="E29" s="71">
        <v>102.7</v>
      </c>
    </row>
    <row r="30" spans="1:5" ht="15" customHeight="1">
      <c r="A30" s="69" t="s">
        <v>3</v>
      </c>
      <c r="B30" s="70">
        <v>333783</v>
      </c>
      <c r="C30" s="71">
        <v>100.8</v>
      </c>
      <c r="D30" s="70">
        <v>240325</v>
      </c>
      <c r="E30" s="71">
        <v>102.4</v>
      </c>
    </row>
    <row r="31" spans="1:5" ht="12.75" customHeight="1">
      <c r="A31" s="69"/>
      <c r="B31" s="48"/>
      <c r="C31" s="48"/>
      <c r="D31" s="56"/>
      <c r="E31" s="56"/>
    </row>
    <row r="32" spans="1:5" ht="66.75" customHeight="1">
      <c r="A32" s="587" t="s">
        <v>619</v>
      </c>
      <c r="B32" s="587"/>
      <c r="C32" s="587"/>
      <c r="D32" s="587"/>
      <c r="E32" s="587"/>
    </row>
    <row r="33" spans="1:5" ht="60.75" customHeight="1">
      <c r="A33" s="587" t="s">
        <v>610</v>
      </c>
      <c r="B33" s="587"/>
      <c r="C33" s="587"/>
      <c r="D33" s="587"/>
      <c r="E33" s="587"/>
    </row>
  </sheetData>
  <mergeCells count="8">
    <mergeCell ref="A2:E2"/>
    <mergeCell ref="A3:E3"/>
    <mergeCell ref="A32:E32"/>
    <mergeCell ref="A33:E33"/>
    <mergeCell ref="A4:E4"/>
    <mergeCell ref="B6:C6"/>
    <mergeCell ref="D6:E6"/>
    <mergeCell ref="A6:A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37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Layout" workbookViewId="0" topLeftCell="A19">
      <selection activeCell="E31" sqref="E31"/>
    </sheetView>
  </sheetViews>
  <sheetFormatPr defaultColWidth="9.140625" defaultRowHeight="15"/>
  <cols>
    <col min="1" max="1" width="26.00390625" style="46" customWidth="1"/>
    <col min="2" max="2" width="8.7109375" style="46" customWidth="1"/>
    <col min="3" max="4" width="25.7109375" style="46" customWidth="1"/>
    <col min="5" max="16384" width="9.140625" style="46" customWidth="1"/>
  </cols>
  <sheetData>
    <row r="1" spans="1:4" ht="32.1" customHeight="1">
      <c r="A1" s="653" t="s">
        <v>963</v>
      </c>
      <c r="B1" s="653"/>
      <c r="C1" s="653"/>
      <c r="D1" s="653"/>
    </row>
    <row r="2" spans="1:6" ht="32.1" customHeight="1">
      <c r="A2" s="579" t="s">
        <v>964</v>
      </c>
      <c r="B2" s="579"/>
      <c r="C2" s="579"/>
      <c r="D2" s="579"/>
      <c r="E2" s="47"/>
      <c r="F2" s="47"/>
    </row>
    <row r="3" spans="1:6" ht="9.95" customHeight="1">
      <c r="A3" s="97"/>
      <c r="B3" s="97"/>
      <c r="C3" s="97"/>
      <c r="D3" s="97"/>
      <c r="E3" s="47"/>
      <c r="F3" s="47"/>
    </row>
    <row r="4" spans="1:4" ht="46.5" customHeight="1">
      <c r="A4" s="597" t="s">
        <v>602</v>
      </c>
      <c r="B4" s="592"/>
      <c r="C4" s="654" t="s">
        <v>741</v>
      </c>
      <c r="D4" s="597"/>
    </row>
    <row r="5" spans="1:4" ht="33.75" customHeight="1">
      <c r="A5" s="598"/>
      <c r="B5" s="593"/>
      <c r="C5" s="50" t="s">
        <v>742</v>
      </c>
      <c r="D5" s="81" t="s">
        <v>743</v>
      </c>
    </row>
    <row r="6" spans="1:4" ht="15">
      <c r="A6" s="600"/>
      <c r="B6" s="601"/>
      <c r="C6" s="82"/>
      <c r="D6" s="82"/>
    </row>
    <row r="7" spans="1:4" ht="13.5">
      <c r="A7" s="314" t="s">
        <v>744</v>
      </c>
      <c r="B7" s="315">
        <v>2017</v>
      </c>
      <c r="C7" s="316">
        <v>2072.44</v>
      </c>
      <c r="D7" s="307">
        <v>2182.45</v>
      </c>
    </row>
    <row r="8" spans="1:4" ht="15" customHeight="1">
      <c r="A8" s="317" t="s">
        <v>745</v>
      </c>
      <c r="B8" s="224">
        <v>2016</v>
      </c>
      <c r="C8" s="318">
        <v>2018.48</v>
      </c>
      <c r="D8" s="319">
        <v>2131.7</v>
      </c>
    </row>
    <row r="9" spans="1:4" ht="15">
      <c r="A9" s="320"/>
      <c r="B9" s="224"/>
      <c r="C9" s="321"/>
      <c r="D9" s="321"/>
    </row>
    <row r="10" spans="1:4" ht="15" customHeight="1">
      <c r="A10" s="655" t="s">
        <v>867</v>
      </c>
      <c r="B10" s="656"/>
      <c r="C10" s="322">
        <v>1907.95</v>
      </c>
      <c r="D10" s="322">
        <v>2012.53</v>
      </c>
    </row>
    <row r="11" spans="1:4" ht="15" customHeight="1">
      <c r="A11" s="595" t="s">
        <v>7</v>
      </c>
      <c r="B11" s="596"/>
      <c r="C11" s="323">
        <v>1927.25</v>
      </c>
      <c r="D11" s="324">
        <v>2030.22</v>
      </c>
    </row>
    <row r="12" spans="1:4" ht="15" customHeight="1">
      <c r="A12" s="595" t="s">
        <v>15</v>
      </c>
      <c r="B12" s="596"/>
      <c r="C12" s="323">
        <v>1866.45</v>
      </c>
      <c r="D12" s="324">
        <v>1972.85</v>
      </c>
    </row>
    <row r="13" spans="1:4" ht="15" customHeight="1">
      <c r="A13" s="606" t="s">
        <v>868</v>
      </c>
      <c r="B13" s="607"/>
      <c r="C13" s="325">
        <v>2352.67</v>
      </c>
      <c r="D13" s="326">
        <v>2457.78</v>
      </c>
    </row>
    <row r="14" spans="1:4" ht="15" customHeight="1">
      <c r="A14" s="595" t="s">
        <v>8</v>
      </c>
      <c r="B14" s="596"/>
      <c r="C14" s="323">
        <v>2029.96</v>
      </c>
      <c r="D14" s="324">
        <v>2128.34</v>
      </c>
    </row>
    <row r="15" spans="1:4" ht="15" customHeight="1">
      <c r="A15" s="595" t="s">
        <v>14</v>
      </c>
      <c r="B15" s="596"/>
      <c r="C15" s="323">
        <v>2532.76</v>
      </c>
      <c r="D15" s="324">
        <v>2645.19</v>
      </c>
    </row>
    <row r="16" spans="1:4" ht="15" customHeight="1">
      <c r="A16" s="606" t="s">
        <v>869</v>
      </c>
      <c r="B16" s="607"/>
      <c r="C16" s="325">
        <v>1849.82</v>
      </c>
      <c r="D16" s="327">
        <v>1959.58</v>
      </c>
    </row>
    <row r="17" spans="1:4" ht="15" customHeight="1">
      <c r="A17" s="595" t="s">
        <v>5</v>
      </c>
      <c r="B17" s="596"/>
      <c r="C17" s="328">
        <v>1870.57</v>
      </c>
      <c r="D17" s="324">
        <v>1985.78</v>
      </c>
    </row>
    <row r="18" spans="1:4" ht="15" customHeight="1">
      <c r="A18" s="595" t="s">
        <v>11</v>
      </c>
      <c r="B18" s="596"/>
      <c r="C18" s="328">
        <v>1811.81</v>
      </c>
      <c r="D18" s="324">
        <v>1927.28</v>
      </c>
    </row>
    <row r="19" spans="1:4" ht="15" customHeight="1">
      <c r="A19" s="595" t="s">
        <v>12</v>
      </c>
      <c r="B19" s="596"/>
      <c r="C19" s="328">
        <v>1890.15</v>
      </c>
      <c r="D19" s="324">
        <v>1975.74</v>
      </c>
    </row>
    <row r="20" spans="1:4" ht="15" customHeight="1">
      <c r="A20" s="606" t="s">
        <v>870</v>
      </c>
      <c r="B20" s="607"/>
      <c r="C20" s="329">
        <v>1978.05</v>
      </c>
      <c r="D20" s="326">
        <v>2096.99</v>
      </c>
    </row>
    <row r="21" spans="1:4" ht="15" customHeight="1">
      <c r="A21" s="595" t="s">
        <v>6</v>
      </c>
      <c r="B21" s="596"/>
      <c r="C21" s="328">
        <v>1905.03</v>
      </c>
      <c r="D21" s="324">
        <v>2005.06</v>
      </c>
    </row>
    <row r="22" spans="1:4" ht="15" customHeight="1">
      <c r="A22" s="595" t="s">
        <v>2</v>
      </c>
      <c r="B22" s="596"/>
      <c r="C22" s="328">
        <v>1991.99</v>
      </c>
      <c r="D22" s="324">
        <v>2128.21</v>
      </c>
    </row>
    <row r="23" spans="1:4" ht="15" customHeight="1">
      <c r="A23" s="595" t="s">
        <v>3</v>
      </c>
      <c r="B23" s="596"/>
      <c r="C23" s="328">
        <v>1995.19</v>
      </c>
      <c r="D23" s="323">
        <v>2094.54</v>
      </c>
    </row>
    <row r="24" spans="1:4" ht="15" customHeight="1">
      <c r="A24" s="606" t="s">
        <v>871</v>
      </c>
      <c r="B24" s="607"/>
      <c r="C24" s="329">
        <v>2080.89</v>
      </c>
      <c r="D24" s="325">
        <v>2164.07</v>
      </c>
    </row>
    <row r="25" spans="1:4" ht="15" customHeight="1">
      <c r="A25" s="595" t="s">
        <v>4</v>
      </c>
      <c r="B25" s="596"/>
      <c r="C25" s="328">
        <v>2100.05</v>
      </c>
      <c r="D25" s="324">
        <v>2183.63</v>
      </c>
    </row>
    <row r="26" spans="1:4" ht="15" customHeight="1">
      <c r="A26" s="595" t="s">
        <v>10</v>
      </c>
      <c r="B26" s="596"/>
      <c r="C26" s="328">
        <v>2014.89</v>
      </c>
      <c r="D26" s="324">
        <v>2097.82</v>
      </c>
    </row>
    <row r="27" spans="1:4" ht="15" customHeight="1">
      <c r="A27" s="606" t="s">
        <v>872</v>
      </c>
      <c r="B27" s="607"/>
      <c r="C27" s="329">
        <v>1956.43</v>
      </c>
      <c r="D27" s="326">
        <v>2076.14</v>
      </c>
    </row>
    <row r="28" spans="1:4" ht="15" customHeight="1">
      <c r="A28" s="595" t="s">
        <v>0</v>
      </c>
      <c r="B28" s="596"/>
      <c r="C28" s="328">
        <v>1911.46</v>
      </c>
      <c r="D28" s="324">
        <v>2042.28</v>
      </c>
    </row>
    <row r="29" spans="1:4" ht="15" customHeight="1">
      <c r="A29" s="595" t="s">
        <v>13</v>
      </c>
      <c r="B29" s="596"/>
      <c r="C29" s="328">
        <v>2043.95</v>
      </c>
      <c r="D29" s="324">
        <v>2148.98</v>
      </c>
    </row>
    <row r="30" spans="1:4" ht="15" customHeight="1">
      <c r="A30" s="595" t="s">
        <v>1</v>
      </c>
      <c r="B30" s="596"/>
      <c r="C30" s="328">
        <v>1880.42</v>
      </c>
      <c r="D30" s="324">
        <v>2002.83</v>
      </c>
    </row>
    <row r="31" spans="1:4" ht="15" customHeight="1">
      <c r="A31" s="606" t="s">
        <v>880</v>
      </c>
      <c r="B31" s="607"/>
      <c r="C31" s="329">
        <v>2141.25</v>
      </c>
      <c r="D31" s="326">
        <v>2266.54</v>
      </c>
    </row>
    <row r="32" spans="1:4" ht="15" customHeight="1">
      <c r="A32" s="595" t="s">
        <v>562</v>
      </c>
      <c r="B32" s="596"/>
      <c r="C32" s="328">
        <v>2141.25</v>
      </c>
      <c r="D32" s="324">
        <v>2266.54</v>
      </c>
    </row>
    <row r="33" spans="1:4" ht="6.75" customHeight="1">
      <c r="A33" s="69"/>
      <c r="B33" s="69"/>
      <c r="C33" s="48"/>
      <c r="D33" s="56"/>
    </row>
    <row r="34" spans="1:4" ht="72.75" customHeight="1">
      <c r="A34" s="609" t="s">
        <v>993</v>
      </c>
      <c r="B34" s="609"/>
      <c r="C34" s="609"/>
      <c r="D34" s="609"/>
    </row>
    <row r="35" spans="1:4" ht="59.25" customHeight="1">
      <c r="A35" s="608" t="s">
        <v>994</v>
      </c>
      <c r="B35" s="608"/>
      <c r="C35" s="608"/>
      <c r="D35" s="60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14:B14"/>
    <mergeCell ref="A1:D1"/>
    <mergeCell ref="A2:D2"/>
    <mergeCell ref="C4:D4"/>
    <mergeCell ref="A4:B5"/>
    <mergeCell ref="A6:B6"/>
    <mergeCell ref="A10:B10"/>
    <mergeCell ref="A11:B11"/>
    <mergeCell ref="A12:B12"/>
    <mergeCell ref="A13:B13"/>
    <mergeCell ref="A25:B25"/>
    <mergeCell ref="A15:B15"/>
    <mergeCell ref="A16:B16"/>
    <mergeCell ref="A17:B17"/>
    <mergeCell ref="A18:B18"/>
    <mergeCell ref="A19:B19"/>
    <mergeCell ref="A20:B20"/>
    <mergeCell ref="A21:B21"/>
    <mergeCell ref="A22:B22"/>
    <mergeCell ref="A23:B23"/>
    <mergeCell ref="A24:B24"/>
    <mergeCell ref="A35:D35"/>
    <mergeCell ref="A26:B26"/>
    <mergeCell ref="A27:B27"/>
    <mergeCell ref="A28:B28"/>
    <mergeCell ref="A29:B29"/>
    <mergeCell ref="A32:B32"/>
    <mergeCell ref="A34:D34"/>
    <mergeCell ref="A30:B30"/>
    <mergeCell ref="A31:B3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64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workbookViewId="0" topLeftCell="A19">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2.1" customHeight="1">
      <c r="A1" s="584" t="s">
        <v>883</v>
      </c>
      <c r="B1" s="584"/>
      <c r="C1" s="584"/>
      <c r="D1" s="584"/>
      <c r="E1" s="584"/>
      <c r="F1" s="584"/>
    </row>
    <row r="2" spans="1:6" ht="32.1" customHeight="1">
      <c r="A2" s="579" t="s">
        <v>884</v>
      </c>
      <c r="B2" s="579"/>
      <c r="C2" s="579"/>
      <c r="D2" s="579"/>
      <c r="E2" s="579"/>
      <c r="F2" s="579"/>
    </row>
    <row r="3" spans="1:6" ht="9.95" customHeight="1">
      <c r="A3" s="97"/>
      <c r="B3" s="97"/>
      <c r="C3" s="97"/>
      <c r="D3" s="97"/>
      <c r="E3" s="97"/>
      <c r="F3" s="97"/>
    </row>
    <row r="4" spans="1:6" ht="90.75" customHeight="1">
      <c r="A4" s="624" t="s">
        <v>602</v>
      </c>
      <c r="B4" s="625"/>
      <c r="C4" s="98" t="s">
        <v>746</v>
      </c>
      <c r="D4" s="98" t="s">
        <v>690</v>
      </c>
      <c r="E4" s="98" t="s">
        <v>613</v>
      </c>
      <c r="F4" s="99" t="s">
        <v>614</v>
      </c>
    </row>
    <row r="5" spans="1:6" ht="12.75" customHeight="1" hidden="1">
      <c r="A5" s="175"/>
      <c r="B5" s="237"/>
      <c r="C5" s="238"/>
      <c r="D5" s="239"/>
      <c r="E5" s="239"/>
      <c r="F5" s="240"/>
    </row>
    <row r="6" spans="1:6" ht="21" customHeight="1">
      <c r="A6" s="612" t="s">
        <v>747</v>
      </c>
      <c r="B6" s="612"/>
      <c r="C6" s="612"/>
      <c r="D6" s="612"/>
      <c r="E6" s="612"/>
      <c r="F6" s="612"/>
    </row>
    <row r="7" spans="1:6" ht="13.5">
      <c r="A7" s="231" t="s">
        <v>748</v>
      </c>
      <c r="B7" s="65">
        <v>2017</v>
      </c>
      <c r="C7" s="306">
        <v>2072.44</v>
      </c>
      <c r="D7" s="306">
        <v>2182.45</v>
      </c>
      <c r="E7" s="306">
        <v>1665.34</v>
      </c>
      <c r="F7" s="327">
        <v>1897.54</v>
      </c>
    </row>
    <row r="8" spans="1:6" ht="25.5">
      <c r="A8" s="231" t="s">
        <v>749</v>
      </c>
      <c r="B8" s="56">
        <v>2016</v>
      </c>
      <c r="C8" s="330">
        <v>2018.48</v>
      </c>
      <c r="D8" s="330">
        <v>2131.7</v>
      </c>
      <c r="E8" s="330">
        <v>1616.46</v>
      </c>
      <c r="F8" s="331">
        <v>1856.34</v>
      </c>
    </row>
    <row r="9" spans="1:6" ht="14.1" customHeight="1">
      <c r="A9" s="102"/>
      <c r="B9" s="102"/>
      <c r="C9" s="103"/>
      <c r="D9" s="103"/>
      <c r="E9" s="103"/>
      <c r="F9" s="104"/>
    </row>
    <row r="10" spans="1:6" ht="15" customHeight="1">
      <c r="A10" s="611" t="s">
        <v>875</v>
      </c>
      <c r="B10" s="611"/>
      <c r="C10" s="332">
        <v>1907.95</v>
      </c>
      <c r="D10" s="332">
        <v>2012.53</v>
      </c>
      <c r="E10" s="332">
        <v>1457.3</v>
      </c>
      <c r="F10" s="333">
        <v>1722.42</v>
      </c>
    </row>
    <row r="11" spans="1:6" ht="15" customHeight="1">
      <c r="A11" s="611" t="s">
        <v>868</v>
      </c>
      <c r="B11" s="611"/>
      <c r="C11" s="332">
        <v>2352.67</v>
      </c>
      <c r="D11" s="332">
        <v>2457.78</v>
      </c>
      <c r="E11" s="332">
        <v>1968.25</v>
      </c>
      <c r="F11" s="333">
        <v>2198.38</v>
      </c>
    </row>
    <row r="12" spans="1:6" ht="15" customHeight="1">
      <c r="A12" s="611" t="s">
        <v>876</v>
      </c>
      <c r="B12" s="611"/>
      <c r="C12" s="332">
        <v>1849.82</v>
      </c>
      <c r="D12" s="332">
        <v>1959.58</v>
      </c>
      <c r="E12" s="332">
        <v>1505.55</v>
      </c>
      <c r="F12" s="333">
        <v>1654.79</v>
      </c>
    </row>
    <row r="13" spans="1:6" ht="15" customHeight="1">
      <c r="A13" s="611" t="s">
        <v>877</v>
      </c>
      <c r="B13" s="611"/>
      <c r="C13" s="332">
        <v>1978.05</v>
      </c>
      <c r="D13" s="332">
        <v>2096.99</v>
      </c>
      <c r="E13" s="332">
        <v>1613.17</v>
      </c>
      <c r="F13" s="333">
        <v>1799.45</v>
      </c>
    </row>
    <row r="14" spans="1:6" ht="15" customHeight="1">
      <c r="A14" s="611" t="s">
        <v>878</v>
      </c>
      <c r="B14" s="611"/>
      <c r="C14" s="332">
        <v>2080.89</v>
      </c>
      <c r="D14" s="332">
        <v>2164.07</v>
      </c>
      <c r="E14" s="332">
        <v>1756.26</v>
      </c>
      <c r="F14" s="333">
        <v>1917.26</v>
      </c>
    </row>
    <row r="15" spans="1:6" ht="15" customHeight="1">
      <c r="A15" s="611" t="s">
        <v>879</v>
      </c>
      <c r="B15" s="611"/>
      <c r="C15" s="332">
        <v>1956.43</v>
      </c>
      <c r="D15" s="332">
        <v>2076.14</v>
      </c>
      <c r="E15" s="332">
        <v>1561.19</v>
      </c>
      <c r="F15" s="333">
        <v>1781.53</v>
      </c>
    </row>
    <row r="16" spans="1:6" ht="15" customHeight="1">
      <c r="A16" s="611" t="s">
        <v>881</v>
      </c>
      <c r="B16" s="615"/>
      <c r="C16" s="332">
        <v>2141.25</v>
      </c>
      <c r="D16" s="332">
        <v>2266.54</v>
      </c>
      <c r="E16" s="332">
        <v>1569.9</v>
      </c>
      <c r="F16" s="333">
        <v>1872.84</v>
      </c>
    </row>
    <row r="17" spans="1:6" s="107" customFormat="1" ht="23.25" customHeight="1">
      <c r="A17" s="610" t="s">
        <v>560</v>
      </c>
      <c r="B17" s="610"/>
      <c r="C17" s="610"/>
      <c r="D17" s="610"/>
      <c r="E17" s="610"/>
      <c r="F17" s="610"/>
    </row>
    <row r="18" spans="1:6" ht="15.75" customHeight="1">
      <c r="A18" s="629" t="s">
        <v>750</v>
      </c>
      <c r="B18" s="630"/>
      <c r="C18" s="100">
        <f>C7/C8*100</f>
        <v>102.67329871982878</v>
      </c>
      <c r="D18" s="100">
        <f>D7/D8*100</f>
        <v>102.38072899563728</v>
      </c>
      <c r="E18" s="109">
        <f>E7/E8*100</f>
        <v>103.02389171399228</v>
      </c>
      <c r="F18" s="109">
        <f>F7/F8*100</f>
        <v>102.21942101123717</v>
      </c>
    </row>
    <row r="19" spans="1:6" ht="13.5">
      <c r="A19" s="61" t="s">
        <v>751</v>
      </c>
      <c r="B19" s="54"/>
      <c r="C19" s="64"/>
      <c r="D19" s="64"/>
      <c r="E19" s="64"/>
      <c r="F19" s="76"/>
    </row>
    <row r="20" spans="1:6" ht="15">
      <c r="A20" s="61"/>
      <c r="B20" s="56"/>
      <c r="C20" s="64"/>
      <c r="D20" s="64"/>
      <c r="E20" s="64"/>
      <c r="F20" s="76"/>
    </row>
    <row r="21" spans="1:6" ht="15" customHeight="1">
      <c r="A21" s="611" t="s">
        <v>875</v>
      </c>
      <c r="B21" s="611"/>
      <c r="C21" s="110">
        <v>102.6889272816323</v>
      </c>
      <c r="D21" s="110">
        <v>102.3755869022245</v>
      </c>
      <c r="E21" s="110">
        <v>103.23380441327524</v>
      </c>
      <c r="F21" s="111">
        <v>102.21773834604315</v>
      </c>
    </row>
    <row r="22" spans="1:6" ht="15" customHeight="1">
      <c r="A22" s="611" t="s">
        <v>868</v>
      </c>
      <c r="B22" s="611"/>
      <c r="C22" s="110">
        <v>102.40665453690725</v>
      </c>
      <c r="D22" s="110">
        <v>102.22434804308946</v>
      </c>
      <c r="E22" s="110">
        <v>102.77423869000377</v>
      </c>
      <c r="F22" s="111">
        <v>101.92407551648677</v>
      </c>
    </row>
    <row r="23" spans="1:6" ht="15" customHeight="1">
      <c r="A23" s="611" t="s">
        <v>876</v>
      </c>
      <c r="B23" s="611"/>
      <c r="C23" s="110">
        <v>103.20640499902363</v>
      </c>
      <c r="D23" s="110">
        <v>102.7329680987706</v>
      </c>
      <c r="E23" s="110">
        <v>104.40490142368743</v>
      </c>
      <c r="F23" s="111">
        <v>102.44411289473847</v>
      </c>
    </row>
    <row r="24" spans="1:6" ht="15" customHeight="1">
      <c r="A24" s="611" t="s">
        <v>877</v>
      </c>
      <c r="B24" s="611"/>
      <c r="C24" s="110">
        <v>102.84185734562412</v>
      </c>
      <c r="D24" s="110">
        <v>102.50670916210018</v>
      </c>
      <c r="E24" s="110">
        <v>103.40170501890907</v>
      </c>
      <c r="F24" s="111">
        <v>102.11209660486998</v>
      </c>
    </row>
    <row r="25" spans="1:6" ht="15" customHeight="1">
      <c r="A25" s="611" t="s">
        <v>878</v>
      </c>
      <c r="B25" s="611"/>
      <c r="C25" s="110">
        <v>102.57056103788558</v>
      </c>
      <c r="D25" s="110">
        <v>102.45330808379691</v>
      </c>
      <c r="E25" s="110">
        <v>101.75141799389351</v>
      </c>
      <c r="F25" s="111">
        <v>102.42813106031062</v>
      </c>
    </row>
    <row r="26" spans="1:6" ht="15" customHeight="1">
      <c r="A26" s="611" t="s">
        <v>879</v>
      </c>
      <c r="B26" s="611"/>
      <c r="C26" s="141">
        <v>102.7806671920147</v>
      </c>
      <c r="D26" s="141">
        <v>102.40810528184994</v>
      </c>
      <c r="E26" s="141">
        <v>103.09648022188472</v>
      </c>
      <c r="F26" s="140">
        <v>102.3</v>
      </c>
    </row>
    <row r="27" spans="1:6" ht="15" customHeight="1">
      <c r="A27" s="611" t="s">
        <v>881</v>
      </c>
      <c r="B27" s="615"/>
      <c r="C27" s="110">
        <v>102.65796021689415</v>
      </c>
      <c r="D27" s="110">
        <v>102.38972913391518</v>
      </c>
      <c r="E27" s="110">
        <v>102.10731707317073</v>
      </c>
      <c r="F27" s="111">
        <v>102.60225492237063</v>
      </c>
    </row>
    <row r="28" ht="11.25" customHeight="1"/>
    <row r="29" spans="1:6" ht="60" customHeight="1">
      <c r="A29" s="616" t="s">
        <v>995</v>
      </c>
      <c r="B29" s="616"/>
      <c r="C29" s="616"/>
      <c r="D29" s="616"/>
      <c r="E29" s="616"/>
      <c r="F29" s="616"/>
    </row>
    <row r="30" spans="1:6" ht="66.75" customHeight="1">
      <c r="A30" s="608" t="s">
        <v>994</v>
      </c>
      <c r="B30" s="608"/>
      <c r="C30" s="608"/>
      <c r="D30" s="608"/>
      <c r="E30" s="608"/>
      <c r="F30" s="608"/>
    </row>
  </sheetData>
  <mergeCells count="22">
    <mergeCell ref="A17:F17"/>
    <mergeCell ref="A29:F29"/>
    <mergeCell ref="A30:F30"/>
    <mergeCell ref="A18:B18"/>
    <mergeCell ref="A21:B21"/>
    <mergeCell ref="A22:B22"/>
    <mergeCell ref="A23:B23"/>
    <mergeCell ref="A24:B24"/>
    <mergeCell ref="A25:B25"/>
    <mergeCell ref="A27:B27"/>
    <mergeCell ref="A26:B26"/>
    <mergeCell ref="A16:B16"/>
    <mergeCell ref="A1:F1"/>
    <mergeCell ref="A2:F2"/>
    <mergeCell ref="A10:B10"/>
    <mergeCell ref="A11:B11"/>
    <mergeCell ref="A12:B12"/>
    <mergeCell ref="A13:B13"/>
    <mergeCell ref="A14:B14"/>
    <mergeCell ref="A4:B4"/>
    <mergeCell ref="A6:F6"/>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65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Layout" workbookViewId="0" topLeftCell="A19">
      <selection activeCell="E31" sqref="E31"/>
    </sheetView>
  </sheetViews>
  <sheetFormatPr defaultColWidth="9.140625" defaultRowHeight="15"/>
  <cols>
    <col min="1" max="1" width="27.8515625" style="46" customWidth="1"/>
    <col min="2" max="5" width="14.7109375" style="46" customWidth="1"/>
    <col min="6" max="16384" width="9.140625" style="46" customWidth="1"/>
  </cols>
  <sheetData>
    <row r="1" spans="1:5" ht="27.95" customHeight="1">
      <c r="A1" s="584" t="s">
        <v>752</v>
      </c>
      <c r="B1" s="584"/>
      <c r="C1" s="584"/>
      <c r="D1" s="584"/>
      <c r="E1" s="584"/>
    </row>
    <row r="2" spans="1:8" ht="27.95" customHeight="1">
      <c r="A2" s="579" t="s">
        <v>753</v>
      </c>
      <c r="B2" s="579"/>
      <c r="C2" s="579"/>
      <c r="D2" s="579"/>
      <c r="E2" s="579"/>
      <c r="F2" s="47"/>
      <c r="G2" s="47"/>
      <c r="H2" s="47"/>
    </row>
    <row r="3" spans="1:8" ht="9.95" customHeight="1">
      <c r="A3" s="97"/>
      <c r="B3" s="97"/>
      <c r="C3" s="97"/>
      <c r="D3" s="97"/>
      <c r="E3" s="97"/>
      <c r="F3" s="47"/>
      <c r="G3" s="47"/>
      <c r="H3" s="47"/>
    </row>
    <row r="4" spans="1:5" ht="46.5" customHeight="1">
      <c r="A4" s="592" t="s">
        <v>602</v>
      </c>
      <c r="B4" s="589" t="s">
        <v>754</v>
      </c>
      <c r="C4" s="590"/>
      <c r="D4" s="589" t="s">
        <v>690</v>
      </c>
      <c r="E4" s="591"/>
    </row>
    <row r="5" spans="1:5" ht="33.75" customHeight="1">
      <c r="A5" s="593"/>
      <c r="B5" s="50" t="s">
        <v>734</v>
      </c>
      <c r="C5" s="50" t="s">
        <v>560</v>
      </c>
      <c r="D5" s="50" t="s">
        <v>734</v>
      </c>
      <c r="E5" s="51" t="s">
        <v>560</v>
      </c>
    </row>
    <row r="6" spans="1:5" ht="15">
      <c r="A6" s="52"/>
      <c r="B6" s="62"/>
      <c r="C6" s="54"/>
      <c r="D6" s="62"/>
      <c r="E6" s="56"/>
    </row>
    <row r="7" spans="1:5" ht="15" customHeight="1">
      <c r="A7" s="232" t="s">
        <v>99</v>
      </c>
      <c r="B7" s="334">
        <v>1200</v>
      </c>
      <c r="C7" s="335">
        <f>B7/1182.83*100</f>
        <v>101.45160335804808</v>
      </c>
      <c r="D7" s="306">
        <v>1221.69</v>
      </c>
      <c r="E7" s="120">
        <f>D7/1210.3*100</f>
        <v>100.94108898620178</v>
      </c>
    </row>
    <row r="8" spans="1:8" ht="15" customHeight="1">
      <c r="A8" s="61" t="s">
        <v>86</v>
      </c>
      <c r="B8" s="62"/>
      <c r="C8" s="336"/>
      <c r="D8" s="62"/>
      <c r="E8" s="308"/>
      <c r="H8" s="63"/>
    </row>
    <row r="9" spans="1:8" ht="15" customHeight="1">
      <c r="A9" s="61"/>
      <c r="B9" s="64"/>
      <c r="C9" s="337"/>
      <c r="D9" s="64"/>
      <c r="E9" s="120"/>
      <c r="H9" s="63"/>
    </row>
    <row r="10" spans="1:5" ht="15" customHeight="1">
      <c r="A10" s="69" t="s">
        <v>4</v>
      </c>
      <c r="B10" s="338">
        <v>1280.45</v>
      </c>
      <c r="C10" s="234">
        <f>B10/1271.82*100</f>
        <v>100.67855514145086</v>
      </c>
      <c r="D10" s="338">
        <v>1329.15</v>
      </c>
      <c r="E10" s="339">
        <f>D10/1325.12*100</f>
        <v>100.30412340014492</v>
      </c>
    </row>
    <row r="11" spans="1:5" ht="15" customHeight="1">
      <c r="A11" s="69" t="s">
        <v>0</v>
      </c>
      <c r="B11" s="338">
        <v>1208.53</v>
      </c>
      <c r="C11" s="234">
        <f>B11/1192.24*100</f>
        <v>101.36633563712003</v>
      </c>
      <c r="D11" s="338">
        <v>1220.87</v>
      </c>
      <c r="E11" s="339">
        <f>D11/1210.04*100</f>
        <v>100.89501173514925</v>
      </c>
    </row>
    <row r="12" spans="1:5" ht="15" customHeight="1">
      <c r="A12" s="69" t="s">
        <v>5</v>
      </c>
      <c r="B12" s="338">
        <v>1201.47</v>
      </c>
      <c r="C12" s="234">
        <f>B12/1182.01*100</f>
        <v>101.64634816964325</v>
      </c>
      <c r="D12" s="338">
        <v>1219.13</v>
      </c>
      <c r="E12" s="339">
        <f>D12/1205.21*100</f>
        <v>101.15498543822238</v>
      </c>
    </row>
    <row r="13" spans="1:5" ht="15" customHeight="1">
      <c r="A13" s="69" t="s">
        <v>6</v>
      </c>
      <c r="B13" s="338">
        <v>1339.93</v>
      </c>
      <c r="C13" s="234">
        <f>B13/1319.19*100</f>
        <v>101.57217686610723</v>
      </c>
      <c r="D13" s="338">
        <v>1410.42</v>
      </c>
      <c r="E13" s="339">
        <f>D13/1393.75*100</f>
        <v>101.1960538116592</v>
      </c>
    </row>
    <row r="14" spans="1:5" ht="15" customHeight="1">
      <c r="A14" s="69" t="s">
        <v>7</v>
      </c>
      <c r="B14" s="338">
        <v>1187.4</v>
      </c>
      <c r="C14" s="234">
        <f>B14/1170.59*100</f>
        <v>101.43602798588746</v>
      </c>
      <c r="D14" s="338">
        <v>1193.72</v>
      </c>
      <c r="E14" s="339">
        <f>D14/1181.5*100</f>
        <v>101.03427845958528</v>
      </c>
    </row>
    <row r="15" spans="1:5" ht="15" customHeight="1">
      <c r="A15" s="69" t="s">
        <v>8</v>
      </c>
      <c r="B15" s="338">
        <v>1163.06</v>
      </c>
      <c r="C15" s="234">
        <f>B15/1146.98*100</f>
        <v>101.40194249245845</v>
      </c>
      <c r="D15" s="338">
        <v>1206.76</v>
      </c>
      <c r="E15" s="339">
        <f>D15/1196.34*100</f>
        <v>100.8709898523831</v>
      </c>
    </row>
    <row r="16" spans="1:5" ht="15" customHeight="1">
      <c r="A16" s="69" t="s">
        <v>9</v>
      </c>
      <c r="B16" s="338">
        <v>1169.88</v>
      </c>
      <c r="C16" s="234">
        <f>B16/1150.29*100</f>
        <v>101.70304879639049</v>
      </c>
      <c r="D16" s="338">
        <v>1181.76</v>
      </c>
      <c r="E16" s="339">
        <f>D16/1167.84*100</f>
        <v>101.19194410193177</v>
      </c>
    </row>
    <row r="17" spans="1:5" ht="15" customHeight="1">
      <c r="A17" s="69" t="s">
        <v>10</v>
      </c>
      <c r="B17" s="338">
        <v>1252.02</v>
      </c>
      <c r="C17" s="234">
        <f>B17/1241.38*100</f>
        <v>100.85711063493852</v>
      </c>
      <c r="D17" s="338">
        <v>1267.17</v>
      </c>
      <c r="E17" s="339">
        <f>D17/1260.96*100</f>
        <v>100.49248191853826</v>
      </c>
    </row>
    <row r="18" spans="1:5" ht="15" customHeight="1">
      <c r="A18" s="69" t="s">
        <v>11</v>
      </c>
      <c r="B18" s="338">
        <v>1177.41</v>
      </c>
      <c r="C18" s="234">
        <f>B18/1156.19*100</f>
        <v>101.83533848242936</v>
      </c>
      <c r="D18" s="338">
        <v>1202.1</v>
      </c>
      <c r="E18" s="339">
        <f>D18/1186.2*100</f>
        <v>101.3404147698533</v>
      </c>
    </row>
    <row r="19" spans="1:5" ht="15" customHeight="1">
      <c r="A19" s="69" t="s">
        <v>12</v>
      </c>
      <c r="B19" s="338">
        <v>1179.66</v>
      </c>
      <c r="C19" s="234">
        <f>B19/1157.18*100</f>
        <v>101.94265369259752</v>
      </c>
      <c r="D19" s="338">
        <v>1188.12</v>
      </c>
      <c r="E19" s="339">
        <f>D19/1169.94*100</f>
        <v>101.55392584235088</v>
      </c>
    </row>
    <row r="20" spans="1:5" ht="15" customHeight="1">
      <c r="A20" s="69" t="s">
        <v>13</v>
      </c>
      <c r="B20" s="338">
        <v>1211</v>
      </c>
      <c r="C20" s="234">
        <f>B20/1192.14*100</f>
        <v>101.58202895633062</v>
      </c>
      <c r="D20" s="338">
        <v>1241.16</v>
      </c>
      <c r="E20" s="339">
        <f>D20/1231.55*100</f>
        <v>100.78031748609477</v>
      </c>
    </row>
    <row r="21" spans="1:5" ht="15" customHeight="1">
      <c r="A21" s="69" t="s">
        <v>14</v>
      </c>
      <c r="B21" s="338">
        <v>1390.71</v>
      </c>
      <c r="C21" s="234">
        <f>B21/1389.86*100</f>
        <v>100.0611572388586</v>
      </c>
      <c r="D21" s="338">
        <v>1462.4</v>
      </c>
      <c r="E21" s="339">
        <f>D21/1466.59*100</f>
        <v>99.71430324766978</v>
      </c>
    </row>
    <row r="22" spans="1:5" ht="15" customHeight="1">
      <c r="A22" s="69" t="s">
        <v>15</v>
      </c>
      <c r="B22" s="338">
        <v>1179.5</v>
      </c>
      <c r="C22" s="234">
        <f>B22/1157.75*100</f>
        <v>101.87864392139927</v>
      </c>
      <c r="D22" s="338">
        <v>1195.93</v>
      </c>
      <c r="E22" s="339">
        <f>D22/1180.6*100</f>
        <v>101.2984922920549</v>
      </c>
    </row>
    <row r="23" spans="1:5" ht="15" customHeight="1">
      <c r="A23" s="69" t="s">
        <v>1</v>
      </c>
      <c r="B23" s="338">
        <v>1218.47</v>
      </c>
      <c r="C23" s="234">
        <f>B23/1195.9*100</f>
        <v>101.8872815452797</v>
      </c>
      <c r="D23" s="338">
        <v>1238.72</v>
      </c>
      <c r="E23" s="339">
        <f>D23/1225.47*100</f>
        <v>101.08121781846964</v>
      </c>
    </row>
    <row r="24" spans="1:5" ht="15" customHeight="1">
      <c r="A24" s="69" t="s">
        <v>2</v>
      </c>
      <c r="B24" s="338">
        <v>1181.02</v>
      </c>
      <c r="C24" s="234">
        <f>B24/1168.04*100</f>
        <v>101.11126331290023</v>
      </c>
      <c r="D24" s="338">
        <v>1202.92</v>
      </c>
      <c r="E24" s="339">
        <f>D24/1196.38*100</f>
        <v>100.5466490579916</v>
      </c>
    </row>
    <row r="25" spans="1:5" ht="15" customHeight="1">
      <c r="A25" s="69" t="s">
        <v>3</v>
      </c>
      <c r="B25" s="338">
        <v>1268.87</v>
      </c>
      <c r="C25" s="234">
        <f>B25/1256.11*100</f>
        <v>101.0158346004729</v>
      </c>
      <c r="D25" s="338">
        <v>1302.73</v>
      </c>
      <c r="E25" s="339">
        <f>D25/1297.55*100</f>
        <v>100.39921390312512</v>
      </c>
    </row>
    <row r="26" spans="1:5" ht="8.25" customHeight="1">
      <c r="A26" s="69"/>
      <c r="B26" s="48"/>
      <c r="C26" s="48"/>
      <c r="D26" s="56"/>
      <c r="E26" s="56"/>
    </row>
    <row r="27" spans="1:5" ht="81.75" customHeight="1">
      <c r="A27" s="616" t="s">
        <v>996</v>
      </c>
      <c r="B27" s="616"/>
      <c r="C27" s="616"/>
      <c r="D27" s="616"/>
      <c r="E27" s="616"/>
    </row>
    <row r="28" spans="1:5" ht="80.25" customHeight="1">
      <c r="A28" s="657" t="s">
        <v>997</v>
      </c>
      <c r="B28" s="657"/>
      <c r="C28" s="657"/>
      <c r="D28" s="657"/>
      <c r="E28" s="657"/>
    </row>
    <row r="29" ht="15">
      <c r="A29" s="113"/>
    </row>
    <row r="30" ht="15">
      <c r="A30" s="113"/>
    </row>
    <row r="31" ht="15">
      <c r="A31" s="113"/>
    </row>
    <row r="32" ht="15" customHeight="1">
      <c r="A32" s="113"/>
    </row>
    <row r="33" ht="15" customHeight="1">
      <c r="A33" s="311"/>
    </row>
  </sheetData>
  <mergeCells count="7">
    <mergeCell ref="A27:E27"/>
    <mergeCell ref="A28:E28"/>
    <mergeCell ref="A1:E1"/>
    <mergeCell ref="A2:E2"/>
    <mergeCell ref="B4:C4"/>
    <mergeCell ref="D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66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Layout" workbookViewId="0" topLeftCell="A19">
      <selection activeCell="E31" sqref="E31"/>
    </sheetView>
  </sheetViews>
  <sheetFormatPr defaultColWidth="9.140625" defaultRowHeight="15"/>
  <cols>
    <col min="1" max="1" width="13.140625" style="46" customWidth="1"/>
    <col min="2" max="2" width="14.57421875" style="46" customWidth="1"/>
    <col min="3" max="6" width="14.7109375" style="46" customWidth="1"/>
    <col min="7" max="16384" width="9.140625" style="46" customWidth="1"/>
  </cols>
  <sheetData>
    <row r="1" spans="1:6" ht="27.95" customHeight="1">
      <c r="A1" s="584" t="s">
        <v>755</v>
      </c>
      <c r="B1" s="584"/>
      <c r="C1" s="584"/>
      <c r="D1" s="584"/>
      <c r="E1" s="584"/>
      <c r="F1" s="584"/>
    </row>
    <row r="2" spans="1:9" ht="27.95" customHeight="1">
      <c r="A2" s="579" t="s">
        <v>756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757</v>
      </c>
      <c r="F4" s="591"/>
    </row>
    <row r="5" spans="1:6" ht="33.75" customHeight="1">
      <c r="A5" s="598"/>
      <c r="B5" s="593"/>
      <c r="C5" s="50" t="s">
        <v>734</v>
      </c>
      <c r="D5" s="50" t="s">
        <v>560</v>
      </c>
      <c r="E5" s="50" t="s">
        <v>734</v>
      </c>
      <c r="F5" s="51" t="s">
        <v>560</v>
      </c>
    </row>
    <row r="6" spans="1:6" ht="28.5" customHeight="1">
      <c r="A6" s="606" t="s">
        <v>99</v>
      </c>
      <c r="B6" s="607"/>
      <c r="C6" s="306">
        <v>1064.74</v>
      </c>
      <c r="D6" s="83">
        <f>C6/1042.51*100</f>
        <v>102.1323536464878</v>
      </c>
      <c r="E6" s="306">
        <v>1400.76</v>
      </c>
      <c r="F6" s="217">
        <f>E6/1287.93*100</f>
        <v>108.76056928559781</v>
      </c>
    </row>
    <row r="7" spans="1:9" ht="15" customHeight="1">
      <c r="A7" s="61" t="s">
        <v>86</v>
      </c>
      <c r="B7" s="56"/>
      <c r="C7" s="62"/>
      <c r="D7" s="56"/>
      <c r="E7" s="62"/>
      <c r="F7" s="308"/>
      <c r="I7" s="63"/>
    </row>
    <row r="8" spans="1:9" ht="15" customHeight="1">
      <c r="A8" s="61"/>
      <c r="B8" s="56"/>
      <c r="C8" s="64"/>
      <c r="D8" s="65"/>
      <c r="E8" s="64"/>
      <c r="F8" s="120"/>
      <c r="I8" s="63"/>
    </row>
    <row r="9" spans="1:6" ht="15" customHeight="1">
      <c r="A9" s="595" t="s">
        <v>4</v>
      </c>
      <c r="B9" s="596"/>
      <c r="C9" s="338">
        <v>1074.13</v>
      </c>
      <c r="D9" s="234">
        <f>C9/1063.29*100</f>
        <v>101.0194772827733</v>
      </c>
      <c r="E9" s="338">
        <v>1353.04</v>
      </c>
      <c r="F9" s="339">
        <f>E9/1257.01*100</f>
        <v>107.63955736231215</v>
      </c>
    </row>
    <row r="10" spans="1:6" ht="15" customHeight="1">
      <c r="A10" s="595" t="s">
        <v>0</v>
      </c>
      <c r="B10" s="596" t="s">
        <v>0</v>
      </c>
      <c r="C10" s="338">
        <v>1098.48</v>
      </c>
      <c r="D10" s="234">
        <f>C10/1080.02*100</f>
        <v>101.70922760689618</v>
      </c>
      <c r="E10" s="338">
        <v>1552.09</v>
      </c>
      <c r="F10" s="339">
        <f>E10/1436.6*100</f>
        <v>108.0391201447863</v>
      </c>
    </row>
    <row r="11" spans="1:6" ht="15" customHeight="1">
      <c r="A11" s="595" t="s">
        <v>5</v>
      </c>
      <c r="B11" s="596"/>
      <c r="C11" s="338">
        <v>1077.02</v>
      </c>
      <c r="D11" s="234">
        <f>C11/1053.16*100</f>
        <v>102.26556268753085</v>
      </c>
      <c r="E11" s="338">
        <v>1451</v>
      </c>
      <c r="F11" s="339">
        <f>E11/1334.04*100</f>
        <v>108.76735330274954</v>
      </c>
    </row>
    <row r="12" spans="1:6" ht="15" customHeight="1">
      <c r="A12" s="595" t="s">
        <v>6</v>
      </c>
      <c r="B12" s="596"/>
      <c r="C12" s="338">
        <v>1076.3</v>
      </c>
      <c r="D12" s="234">
        <f>C12/1049.51*100</f>
        <v>102.5526197939991</v>
      </c>
      <c r="E12" s="338">
        <v>1405.96</v>
      </c>
      <c r="F12" s="339">
        <f>E12/1304.49*100</f>
        <v>107.77851880811657</v>
      </c>
    </row>
    <row r="13" spans="1:6" ht="15" customHeight="1">
      <c r="A13" s="595" t="s">
        <v>7</v>
      </c>
      <c r="B13" s="596"/>
      <c r="C13" s="338">
        <v>1068.21</v>
      </c>
      <c r="D13" s="234">
        <f>C13/1052.21*100</f>
        <v>101.52060900390607</v>
      </c>
      <c r="E13" s="338">
        <v>1450.63</v>
      </c>
      <c r="F13" s="339">
        <f>E13/1330.52*100</f>
        <v>109.02729759793164</v>
      </c>
    </row>
    <row r="14" spans="1:6" ht="15" customHeight="1">
      <c r="A14" s="595" t="s">
        <v>8</v>
      </c>
      <c r="B14" s="596"/>
      <c r="C14" s="338">
        <v>1035.28</v>
      </c>
      <c r="D14" s="234">
        <f>C14/1012.25*100</f>
        <v>102.27512966164485</v>
      </c>
      <c r="E14" s="338">
        <v>1311.26</v>
      </c>
      <c r="F14" s="339">
        <f>E14/1206.51*100</f>
        <v>108.6820664561421</v>
      </c>
    </row>
    <row r="15" spans="1:6" ht="15" customHeight="1">
      <c r="A15" s="595" t="s">
        <v>9</v>
      </c>
      <c r="B15" s="596"/>
      <c r="C15" s="338">
        <v>1055.32</v>
      </c>
      <c r="D15" s="234">
        <f>C15/1029.5*100</f>
        <v>102.50801359883437</v>
      </c>
      <c r="E15" s="338">
        <v>1348.62</v>
      </c>
      <c r="F15" s="339">
        <f>E15/1242.1*100</f>
        <v>108.57579904999596</v>
      </c>
    </row>
    <row r="16" spans="1:6" ht="15" customHeight="1">
      <c r="A16" s="595" t="s">
        <v>10</v>
      </c>
      <c r="B16" s="596"/>
      <c r="C16" s="338">
        <v>1088.3</v>
      </c>
      <c r="D16" s="234">
        <f>C16/1074.2*100</f>
        <v>101.31260472910071</v>
      </c>
      <c r="E16" s="338">
        <v>1421.37</v>
      </c>
      <c r="F16" s="339">
        <f>E16/1305.85*100</f>
        <v>108.84634529233833</v>
      </c>
    </row>
    <row r="17" spans="1:6" ht="15" customHeight="1">
      <c r="A17" s="595" t="s">
        <v>11</v>
      </c>
      <c r="B17" s="596"/>
      <c r="C17" s="338">
        <v>1046.67</v>
      </c>
      <c r="D17" s="234">
        <f>C17/1019.86*100</f>
        <v>102.62879218716294</v>
      </c>
      <c r="E17" s="338">
        <v>1378.82</v>
      </c>
      <c r="F17" s="339">
        <f>E17/1250.85*100</f>
        <v>110.23064316264941</v>
      </c>
    </row>
    <row r="18" spans="1:6" ht="15" customHeight="1">
      <c r="A18" s="595" t="s">
        <v>12</v>
      </c>
      <c r="B18" s="596"/>
      <c r="C18" s="338">
        <v>1063.57</v>
      </c>
      <c r="D18" s="234">
        <f>C18/1042.84*100</f>
        <v>101.98784089601473</v>
      </c>
      <c r="E18" s="338">
        <v>1443.46</v>
      </c>
      <c r="F18" s="339">
        <f>E18/1315.81*100</f>
        <v>109.70124866052092</v>
      </c>
    </row>
    <row r="19" spans="1:6" ht="15" customHeight="1">
      <c r="A19" s="595" t="s">
        <v>13</v>
      </c>
      <c r="B19" s="596"/>
      <c r="C19" s="338">
        <v>1067.94</v>
      </c>
      <c r="D19" s="234">
        <f>C19/1042.2*100</f>
        <v>102.46977547495682</v>
      </c>
      <c r="E19" s="338">
        <v>1465.79</v>
      </c>
      <c r="F19" s="339">
        <f>E19/1343.62*100</f>
        <v>109.09260058647534</v>
      </c>
    </row>
    <row r="20" spans="1:6" ht="15" customHeight="1">
      <c r="A20" s="595" t="s">
        <v>14</v>
      </c>
      <c r="B20" s="596"/>
      <c r="C20" s="338">
        <v>1047.85</v>
      </c>
      <c r="D20" s="234">
        <f>C20/1028.2*100</f>
        <v>101.91110678856252</v>
      </c>
      <c r="E20" s="338">
        <v>1287.11</v>
      </c>
      <c r="F20" s="339">
        <f>E20/1177.66*100</f>
        <v>109.29385391369324</v>
      </c>
    </row>
    <row r="21" spans="1:6" ht="15" customHeight="1">
      <c r="A21" s="595" t="s">
        <v>15</v>
      </c>
      <c r="B21" s="596"/>
      <c r="C21" s="338">
        <v>1058.06</v>
      </c>
      <c r="D21" s="234">
        <f>C21/1026.6*100</f>
        <v>103.06448470679913</v>
      </c>
      <c r="E21" s="338">
        <v>1347.18</v>
      </c>
      <c r="F21" s="339">
        <f>E21/1230.76*100</f>
        <v>109.45919594396958</v>
      </c>
    </row>
    <row r="22" spans="1:6" ht="15" customHeight="1">
      <c r="A22" s="595" t="s">
        <v>1</v>
      </c>
      <c r="B22" s="596"/>
      <c r="C22" s="338">
        <v>1085.01</v>
      </c>
      <c r="D22" s="234">
        <f>C22/1055.39*100</f>
        <v>102.80654544765441</v>
      </c>
      <c r="E22" s="338">
        <v>1468.75</v>
      </c>
      <c r="F22" s="339">
        <f>E22/1341.97*100</f>
        <v>109.44730508133564</v>
      </c>
    </row>
    <row r="23" spans="1:6" ht="15" customHeight="1">
      <c r="A23" s="595" t="s">
        <v>2</v>
      </c>
      <c r="B23" s="596"/>
      <c r="C23" s="338">
        <v>1070.24</v>
      </c>
      <c r="D23" s="234">
        <f>C23/1052.16*100</f>
        <v>101.7183698296837</v>
      </c>
      <c r="E23" s="338">
        <v>1331.69</v>
      </c>
      <c r="F23" s="339">
        <f>E23/1232.32*100</f>
        <v>108.0636522981044</v>
      </c>
    </row>
    <row r="24" spans="1:6" ht="15" customHeight="1">
      <c r="A24" s="595" t="s">
        <v>3</v>
      </c>
      <c r="B24" s="596"/>
      <c r="C24" s="338">
        <v>1076.21</v>
      </c>
      <c r="D24" s="234">
        <f>C24/1055.93*100</f>
        <v>101.92058185675185</v>
      </c>
      <c r="E24" s="338">
        <v>1558.33</v>
      </c>
      <c r="F24" s="339">
        <f>E24/1449.39*100</f>
        <v>107.51626546340182</v>
      </c>
    </row>
    <row r="25" spans="1:6" ht="7.5" customHeight="1">
      <c r="A25" s="69"/>
      <c r="B25" s="69"/>
      <c r="C25" s="48"/>
      <c r="D25" s="48"/>
      <c r="E25" s="56"/>
      <c r="F25" s="56"/>
    </row>
    <row r="26" spans="1:6" ht="66" customHeight="1">
      <c r="A26" s="609" t="s">
        <v>998</v>
      </c>
      <c r="B26" s="609"/>
      <c r="C26" s="609"/>
      <c r="D26" s="609"/>
      <c r="E26" s="609"/>
      <c r="F26" s="609"/>
    </row>
    <row r="27" spans="1:6" ht="69.75" customHeight="1">
      <c r="A27" s="608" t="s">
        <v>999</v>
      </c>
      <c r="B27" s="608"/>
      <c r="C27" s="608"/>
      <c r="D27" s="608"/>
      <c r="E27" s="608"/>
      <c r="F27" s="608"/>
    </row>
    <row r="28" ht="43.5" customHeight="1">
      <c r="A28" s="113"/>
    </row>
    <row r="29" ht="43.5" customHeight="1">
      <c r="A29" s="113"/>
    </row>
    <row r="30" ht="15" customHeight="1">
      <c r="A30" s="113"/>
    </row>
  </sheetData>
  <mergeCells count="24">
    <mergeCell ref="A18:B18"/>
    <mergeCell ref="A6:B6"/>
    <mergeCell ref="A9:B9"/>
    <mergeCell ref="A10:B10"/>
    <mergeCell ref="A16:B16"/>
    <mergeCell ref="A17:B17"/>
    <mergeCell ref="A14:B14"/>
    <mergeCell ref="A15:B15"/>
    <mergeCell ref="A26:F26"/>
    <mergeCell ref="A27:F27"/>
    <mergeCell ref="A19:B19"/>
    <mergeCell ref="A20:B20"/>
    <mergeCell ref="A21:B21"/>
    <mergeCell ref="A22:B22"/>
    <mergeCell ref="A23:B23"/>
    <mergeCell ref="A24:B24"/>
    <mergeCell ref="A1:F1"/>
    <mergeCell ref="A2:F2"/>
    <mergeCell ref="A11:B11"/>
    <mergeCell ref="A12:B12"/>
    <mergeCell ref="A13:B13"/>
    <mergeCell ref="C4:D4"/>
    <mergeCell ref="E4:F4"/>
    <mergeCell ref="A4:B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67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9">
      <selection activeCell="E31" sqref="E31"/>
    </sheetView>
  </sheetViews>
  <sheetFormatPr defaultColWidth="9.140625" defaultRowHeight="15"/>
  <cols>
    <col min="1" max="1" width="27.140625" style="46" customWidth="1"/>
    <col min="2" max="2" width="8.7109375" style="46" customWidth="1"/>
    <col min="3" max="4" width="25.7109375" style="46" customWidth="1"/>
    <col min="5" max="5" width="17.7109375" style="46" customWidth="1"/>
    <col min="6" max="16384" width="9.140625" style="46" customWidth="1"/>
  </cols>
  <sheetData>
    <row r="1" spans="1:4" ht="27.95" customHeight="1">
      <c r="A1" s="584" t="s">
        <v>967</v>
      </c>
      <c r="B1" s="584"/>
      <c r="C1" s="584"/>
      <c r="D1" s="584"/>
    </row>
    <row r="2" spans="1:7" ht="27.95" customHeight="1">
      <c r="A2" s="579" t="s">
        <v>968</v>
      </c>
      <c r="B2" s="579"/>
      <c r="C2" s="579"/>
      <c r="D2" s="579"/>
      <c r="E2" s="47"/>
      <c r="F2" s="47"/>
      <c r="G2" s="47"/>
    </row>
    <row r="3" spans="1:7" ht="9.95" customHeight="1">
      <c r="A3" s="97"/>
      <c r="B3" s="97"/>
      <c r="C3" s="97"/>
      <c r="D3" s="97"/>
      <c r="E3" s="47"/>
      <c r="F3" s="47"/>
      <c r="G3" s="47"/>
    </row>
    <row r="4" spans="1:4" ht="46.5" customHeight="1">
      <c r="A4" s="597" t="s">
        <v>602</v>
      </c>
      <c r="B4" s="592"/>
      <c r="C4" s="81" t="s">
        <v>758</v>
      </c>
      <c r="D4" s="81" t="s">
        <v>690</v>
      </c>
    </row>
    <row r="5" spans="1:4" ht="33.75" customHeight="1">
      <c r="A5" s="658"/>
      <c r="B5" s="659"/>
      <c r="C5" s="654" t="s">
        <v>759</v>
      </c>
      <c r="D5" s="597"/>
    </row>
    <row r="6" spans="1:4" ht="15">
      <c r="A6" s="600"/>
      <c r="B6" s="601"/>
      <c r="C6" s="82"/>
      <c r="D6" s="82"/>
    </row>
    <row r="7" spans="1:4" ht="13.5">
      <c r="A7" s="124" t="s">
        <v>99</v>
      </c>
      <c r="B7" s="65">
        <v>2017</v>
      </c>
      <c r="C7" s="327">
        <v>1200</v>
      </c>
      <c r="D7" s="76" t="s">
        <v>760</v>
      </c>
    </row>
    <row r="8" spans="1:4" ht="15" customHeight="1">
      <c r="A8" s="125" t="s">
        <v>86</v>
      </c>
      <c r="B8" s="56">
        <v>2016</v>
      </c>
      <c r="C8" s="340">
        <v>1182.83</v>
      </c>
      <c r="D8" s="341">
        <v>1210.3</v>
      </c>
    </row>
    <row r="9" spans="1:5" ht="15">
      <c r="A9" s="61"/>
      <c r="B9" s="56"/>
      <c r="C9" s="88"/>
      <c r="D9" s="88"/>
      <c r="E9" s="63"/>
    </row>
    <row r="10" spans="1:5" ht="15" customHeight="1">
      <c r="A10" s="606" t="s">
        <v>867</v>
      </c>
      <c r="B10" s="607"/>
      <c r="C10" s="327">
        <v>1184.31</v>
      </c>
      <c r="D10" s="327">
        <v>1194.56</v>
      </c>
      <c r="E10" s="63"/>
    </row>
    <row r="11" spans="1:4" ht="15" customHeight="1">
      <c r="A11" s="595" t="s">
        <v>7</v>
      </c>
      <c r="B11" s="596"/>
      <c r="C11" s="342">
        <v>1187.4</v>
      </c>
      <c r="D11" s="331">
        <v>1193.72</v>
      </c>
    </row>
    <row r="12" spans="1:4" ht="15" customHeight="1">
      <c r="A12" s="595" t="s">
        <v>15</v>
      </c>
      <c r="B12" s="596"/>
      <c r="C12" s="342">
        <v>1179.5</v>
      </c>
      <c r="D12" s="331">
        <v>1195.93</v>
      </c>
    </row>
    <row r="13" spans="1:4" ht="15" customHeight="1">
      <c r="A13" s="606" t="s">
        <v>868</v>
      </c>
      <c r="B13" s="607"/>
      <c r="C13" s="343">
        <v>1224.46</v>
      </c>
      <c r="D13" s="327">
        <v>1284.41</v>
      </c>
    </row>
    <row r="14" spans="1:4" ht="15" customHeight="1">
      <c r="A14" s="595" t="s">
        <v>8</v>
      </c>
      <c r="B14" s="596"/>
      <c r="C14" s="342">
        <v>1163.06</v>
      </c>
      <c r="D14" s="331">
        <v>1206.76</v>
      </c>
    </row>
    <row r="15" spans="1:4" ht="15" customHeight="1">
      <c r="A15" s="595" t="s">
        <v>14</v>
      </c>
      <c r="B15" s="596"/>
      <c r="C15" s="342">
        <v>1390.71</v>
      </c>
      <c r="D15" s="331">
        <v>1462.4</v>
      </c>
    </row>
    <row r="16" spans="1:4" ht="15" customHeight="1">
      <c r="A16" s="606" t="s">
        <v>869</v>
      </c>
      <c r="B16" s="607"/>
      <c r="C16" s="343">
        <v>1189.93</v>
      </c>
      <c r="D16" s="327">
        <v>1206.46</v>
      </c>
    </row>
    <row r="17" spans="1:4" ht="15" customHeight="1">
      <c r="A17" s="595" t="s">
        <v>5</v>
      </c>
      <c r="B17" s="596"/>
      <c r="C17" s="338">
        <v>1201.47</v>
      </c>
      <c r="D17" s="331">
        <v>1219.13</v>
      </c>
    </row>
    <row r="18" spans="1:4" ht="15" customHeight="1">
      <c r="A18" s="595" t="s">
        <v>11</v>
      </c>
      <c r="B18" s="596"/>
      <c r="C18" s="338">
        <v>1177.41</v>
      </c>
      <c r="D18" s="331">
        <v>1202.1</v>
      </c>
    </row>
    <row r="19" spans="1:4" ht="15" customHeight="1">
      <c r="A19" s="595" t="s">
        <v>12</v>
      </c>
      <c r="B19" s="596"/>
      <c r="C19" s="338">
        <v>1179.66</v>
      </c>
      <c r="D19" s="331">
        <v>1188.12</v>
      </c>
    </row>
    <row r="20" spans="1:4" ht="15" customHeight="1">
      <c r="A20" s="606" t="s">
        <v>870</v>
      </c>
      <c r="B20" s="607"/>
      <c r="C20" s="344">
        <v>1212.08</v>
      </c>
      <c r="D20" s="327">
        <v>1241.19</v>
      </c>
    </row>
    <row r="21" spans="1:4" ht="15" customHeight="1">
      <c r="A21" s="595" t="s">
        <v>6</v>
      </c>
      <c r="B21" s="596"/>
      <c r="C21" s="338">
        <v>1339.93</v>
      </c>
      <c r="D21" s="331">
        <v>1410.42</v>
      </c>
    </row>
    <row r="22" spans="1:4" ht="15" customHeight="1">
      <c r="A22" s="595" t="s">
        <v>2</v>
      </c>
      <c r="B22" s="596"/>
      <c r="C22" s="338">
        <v>1181.02</v>
      </c>
      <c r="D22" s="331">
        <v>1202.92</v>
      </c>
    </row>
    <row r="23" spans="1:4" ht="15" customHeight="1">
      <c r="A23" s="595" t="s">
        <v>3</v>
      </c>
      <c r="B23" s="596"/>
      <c r="C23" s="338">
        <v>1268.87</v>
      </c>
      <c r="D23" s="345">
        <v>1302.73</v>
      </c>
    </row>
    <row r="24" spans="1:4" ht="15" customHeight="1">
      <c r="A24" s="606" t="s">
        <v>871</v>
      </c>
      <c r="B24" s="607"/>
      <c r="C24" s="344">
        <v>1270.42</v>
      </c>
      <c r="D24" s="346">
        <v>1305.72</v>
      </c>
    </row>
    <row r="25" spans="1:4" ht="15" customHeight="1">
      <c r="A25" s="595" t="s">
        <v>4</v>
      </c>
      <c r="B25" s="596"/>
      <c r="C25" s="338">
        <v>1280.45</v>
      </c>
      <c r="D25" s="331">
        <v>1329.15</v>
      </c>
    </row>
    <row r="26" spans="1:4" ht="15" customHeight="1">
      <c r="A26" s="595" t="s">
        <v>10</v>
      </c>
      <c r="B26" s="596"/>
      <c r="C26" s="338">
        <v>1252.02</v>
      </c>
      <c r="D26" s="331">
        <v>1267.17</v>
      </c>
    </row>
    <row r="27" spans="1:4" ht="15" customHeight="1">
      <c r="A27" s="606" t="s">
        <v>872</v>
      </c>
      <c r="B27" s="607"/>
      <c r="C27" s="344">
        <v>1211.84</v>
      </c>
      <c r="D27" s="327">
        <v>1230.36</v>
      </c>
    </row>
    <row r="28" spans="1:4" ht="15" customHeight="1">
      <c r="A28" s="595" t="s">
        <v>0</v>
      </c>
      <c r="B28" s="596"/>
      <c r="C28" s="338">
        <v>1208.53</v>
      </c>
      <c r="D28" s="331">
        <v>1220.87</v>
      </c>
    </row>
    <row r="29" spans="1:4" ht="15" customHeight="1">
      <c r="A29" s="595" t="s">
        <v>13</v>
      </c>
      <c r="B29" s="596"/>
      <c r="C29" s="338">
        <v>1211</v>
      </c>
      <c r="D29" s="331">
        <v>1241.16</v>
      </c>
    </row>
    <row r="30" spans="1:4" ht="15" customHeight="1">
      <c r="A30" s="602" t="s">
        <v>1</v>
      </c>
      <c r="B30" s="603"/>
      <c r="C30" s="338">
        <v>1218.47</v>
      </c>
      <c r="D30" s="331">
        <v>1238.72</v>
      </c>
    </row>
    <row r="31" spans="1:4" ht="15" customHeight="1">
      <c r="A31" s="606" t="s">
        <v>880</v>
      </c>
      <c r="B31" s="607"/>
      <c r="C31" s="344">
        <v>1169.88</v>
      </c>
      <c r="D31" s="347">
        <v>1181.76</v>
      </c>
    </row>
    <row r="32" spans="1:4" ht="15" customHeight="1">
      <c r="A32" s="602" t="s">
        <v>562</v>
      </c>
      <c r="B32" s="603"/>
      <c r="C32" s="338">
        <v>1169.88</v>
      </c>
      <c r="D32" s="331">
        <v>1181.76</v>
      </c>
    </row>
    <row r="33" spans="1:4" ht="7.5" customHeight="1">
      <c r="A33" s="69"/>
      <c r="B33" s="69"/>
      <c r="C33" s="48"/>
      <c r="D33" s="56"/>
    </row>
    <row r="34" spans="1:6" ht="74.25" customHeight="1">
      <c r="A34" s="616" t="s">
        <v>1000</v>
      </c>
      <c r="B34" s="616"/>
      <c r="C34" s="616"/>
      <c r="D34" s="616"/>
      <c r="E34" s="123"/>
      <c r="F34" s="123"/>
    </row>
    <row r="35" spans="1:6" ht="91.5" customHeight="1">
      <c r="A35" s="608" t="s">
        <v>1001</v>
      </c>
      <c r="B35" s="608"/>
      <c r="C35" s="608"/>
      <c r="D35" s="608"/>
      <c r="E35" s="18"/>
      <c r="F35" s="1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35:D35"/>
    <mergeCell ref="A26:B26"/>
    <mergeCell ref="A27:B27"/>
    <mergeCell ref="A28:B28"/>
    <mergeCell ref="A29:B29"/>
    <mergeCell ref="A32:B32"/>
    <mergeCell ref="A34:D34"/>
    <mergeCell ref="A30:B30"/>
    <mergeCell ref="A31:B31"/>
    <mergeCell ref="A25:B25"/>
    <mergeCell ref="A15:B15"/>
    <mergeCell ref="A16:B16"/>
    <mergeCell ref="A17:B17"/>
    <mergeCell ref="A18:B18"/>
    <mergeCell ref="A19:B19"/>
    <mergeCell ref="A20:B20"/>
    <mergeCell ref="A21:B21"/>
    <mergeCell ref="A22:B22"/>
    <mergeCell ref="A23:B23"/>
    <mergeCell ref="A24:B24"/>
    <mergeCell ref="A14:B14"/>
    <mergeCell ref="A1:D1"/>
    <mergeCell ref="A2:D2"/>
    <mergeCell ref="A6:B6"/>
    <mergeCell ref="A10:B10"/>
    <mergeCell ref="A11:B11"/>
    <mergeCell ref="A12:B12"/>
    <mergeCell ref="A13:B13"/>
    <mergeCell ref="A4:B5"/>
    <mergeCell ref="C5:D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68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workbookViewId="0" topLeftCell="A19">
      <selection activeCell="E31" sqref="E31"/>
    </sheetView>
  </sheetViews>
  <sheetFormatPr defaultColWidth="9.140625" defaultRowHeight="15"/>
  <cols>
    <col min="1" max="1" width="26.421875" style="96" customWidth="1"/>
    <col min="2" max="2" width="6.140625" style="96" customWidth="1"/>
    <col min="3" max="6" width="13.7109375" style="96" customWidth="1"/>
    <col min="7" max="11" width="6.28125" style="96" customWidth="1"/>
    <col min="12" max="16384" width="9.140625" style="96" customWidth="1"/>
  </cols>
  <sheetData>
    <row r="1" spans="1:6" ht="32.1" customHeight="1">
      <c r="A1" s="584" t="s">
        <v>885</v>
      </c>
      <c r="B1" s="584"/>
      <c r="C1" s="584"/>
      <c r="D1" s="584"/>
      <c r="E1" s="584"/>
      <c r="F1" s="584"/>
    </row>
    <row r="2" spans="1:6" ht="32.1" customHeight="1">
      <c r="A2" s="579" t="s">
        <v>886</v>
      </c>
      <c r="B2" s="579"/>
      <c r="C2" s="579"/>
      <c r="D2" s="579"/>
      <c r="E2" s="579"/>
      <c r="F2" s="579"/>
    </row>
    <row r="3" spans="1:6" ht="9.95" customHeight="1">
      <c r="A3" s="97"/>
      <c r="B3" s="97"/>
      <c r="C3" s="97"/>
      <c r="D3" s="97"/>
      <c r="E3" s="97"/>
      <c r="F3" s="97"/>
    </row>
    <row r="4" spans="1:6" ht="90.75" customHeight="1">
      <c r="A4" s="624" t="s">
        <v>602</v>
      </c>
      <c r="B4" s="625"/>
      <c r="C4" s="98" t="s">
        <v>761</v>
      </c>
      <c r="D4" s="98" t="s">
        <v>690</v>
      </c>
      <c r="E4" s="98" t="s">
        <v>613</v>
      </c>
      <c r="F4" s="99" t="s">
        <v>762</v>
      </c>
    </row>
    <row r="5" spans="1:6" ht="12.75" customHeight="1" hidden="1">
      <c r="A5" s="175"/>
      <c r="B5" s="237"/>
      <c r="C5" s="238"/>
      <c r="D5" s="239"/>
      <c r="E5" s="239"/>
      <c r="F5" s="240"/>
    </row>
    <row r="6" spans="1:6" ht="21" customHeight="1">
      <c r="A6" s="612" t="s">
        <v>747</v>
      </c>
      <c r="B6" s="612"/>
      <c r="C6" s="612"/>
      <c r="D6" s="612"/>
      <c r="E6" s="612"/>
      <c r="F6" s="612"/>
    </row>
    <row r="7" spans="1:6" ht="15">
      <c r="A7" s="124" t="s">
        <v>99</v>
      </c>
      <c r="B7" s="59">
        <v>2017</v>
      </c>
      <c r="C7" s="348">
        <v>1200</v>
      </c>
      <c r="D7" s="306">
        <v>1221.69</v>
      </c>
      <c r="E7" s="306">
        <v>1064.74</v>
      </c>
      <c r="F7" s="327">
        <v>1400.76</v>
      </c>
    </row>
    <row r="8" spans="1:6" ht="15">
      <c r="A8" s="125" t="s">
        <v>86</v>
      </c>
      <c r="B8" s="54">
        <v>2016</v>
      </c>
      <c r="C8" s="349">
        <v>1182.83</v>
      </c>
      <c r="D8" s="330">
        <v>1210.3</v>
      </c>
      <c r="E8" s="330">
        <v>1042.51</v>
      </c>
      <c r="F8" s="331">
        <v>1287.93</v>
      </c>
    </row>
    <row r="9" spans="1:6" ht="14.1" customHeight="1">
      <c r="A9" s="102"/>
      <c r="B9" s="102"/>
      <c r="C9" s="103"/>
      <c r="D9" s="103"/>
      <c r="E9" s="103"/>
      <c r="F9" s="104"/>
    </row>
    <row r="10" spans="1:6" ht="15" customHeight="1">
      <c r="A10" s="611" t="s">
        <v>875</v>
      </c>
      <c r="B10" s="611"/>
      <c r="C10" s="332">
        <v>1184.31</v>
      </c>
      <c r="D10" s="332">
        <v>1194.56</v>
      </c>
      <c r="E10" s="332">
        <v>1063.67</v>
      </c>
      <c r="F10" s="333">
        <v>1410.13</v>
      </c>
    </row>
    <row r="11" spans="1:6" ht="15" customHeight="1">
      <c r="A11" s="611" t="s">
        <v>868</v>
      </c>
      <c r="B11" s="611"/>
      <c r="C11" s="332">
        <v>1224.46</v>
      </c>
      <c r="D11" s="332">
        <v>1284.41</v>
      </c>
      <c r="E11" s="332">
        <v>1037.46</v>
      </c>
      <c r="F11" s="333">
        <v>1305.68</v>
      </c>
    </row>
    <row r="12" spans="1:6" ht="15" customHeight="1">
      <c r="A12" s="611" t="s">
        <v>876</v>
      </c>
      <c r="B12" s="611"/>
      <c r="C12" s="332">
        <v>1189.93</v>
      </c>
      <c r="D12" s="332">
        <v>1206.46</v>
      </c>
      <c r="E12" s="332">
        <v>1066.07</v>
      </c>
      <c r="F12" s="333">
        <v>1432.61</v>
      </c>
    </row>
    <row r="13" spans="1:6" ht="15" customHeight="1">
      <c r="A13" s="611" t="s">
        <v>877</v>
      </c>
      <c r="B13" s="611"/>
      <c r="C13" s="332">
        <v>1212.08</v>
      </c>
      <c r="D13" s="332">
        <v>1241.19</v>
      </c>
      <c r="E13" s="332">
        <v>1071.82</v>
      </c>
      <c r="F13" s="333">
        <v>1374.52</v>
      </c>
    </row>
    <row r="14" spans="1:6" ht="15" customHeight="1">
      <c r="A14" s="611" t="s">
        <v>878</v>
      </c>
      <c r="B14" s="611"/>
      <c r="C14" s="332">
        <v>1270.42</v>
      </c>
      <c r="D14" s="332">
        <v>1305.72</v>
      </c>
      <c r="E14" s="332">
        <v>1077.54</v>
      </c>
      <c r="F14" s="333">
        <v>1374.88</v>
      </c>
    </row>
    <row r="15" spans="1:6" ht="15" customHeight="1">
      <c r="A15" s="611" t="s">
        <v>879</v>
      </c>
      <c r="B15" s="611"/>
      <c r="C15" s="332">
        <v>1211.84</v>
      </c>
      <c r="D15" s="332">
        <v>1230.36</v>
      </c>
      <c r="E15" s="332">
        <v>1086.73</v>
      </c>
      <c r="F15" s="333">
        <v>1503.28</v>
      </c>
    </row>
    <row r="16" spans="1:6" ht="15" customHeight="1">
      <c r="A16" s="611" t="s">
        <v>881</v>
      </c>
      <c r="B16" s="615"/>
      <c r="C16" s="332">
        <v>1169.88</v>
      </c>
      <c r="D16" s="332">
        <v>1181.76</v>
      </c>
      <c r="E16" s="332">
        <v>1055.33</v>
      </c>
      <c r="F16" s="333">
        <v>1348.58</v>
      </c>
    </row>
    <row r="17" spans="1:6" s="107" customFormat="1" ht="23.25" customHeight="1">
      <c r="A17" s="610" t="s">
        <v>560</v>
      </c>
      <c r="B17" s="610"/>
      <c r="C17" s="610"/>
      <c r="D17" s="610"/>
      <c r="E17" s="610"/>
      <c r="F17" s="610"/>
    </row>
    <row r="18" spans="1:6" ht="15.75" customHeight="1">
      <c r="A18" s="660" t="s">
        <v>99</v>
      </c>
      <c r="B18" s="661"/>
      <c r="C18" s="100">
        <f>C7/C8*100</f>
        <v>101.45160335804808</v>
      </c>
      <c r="D18" s="100">
        <f>D7/D8*100</f>
        <v>100.94108898620178</v>
      </c>
      <c r="E18" s="109">
        <f>E7/E8*100</f>
        <v>102.1323536464878</v>
      </c>
      <c r="F18" s="109">
        <f>F7/F8*100</f>
        <v>108.76056928559781</v>
      </c>
    </row>
    <row r="19" spans="1:6" ht="18.75" customHeight="1">
      <c r="A19" s="585" t="s">
        <v>229</v>
      </c>
      <c r="B19" s="634"/>
      <c r="C19" s="64"/>
      <c r="D19" s="64"/>
      <c r="E19" s="64"/>
      <c r="F19" s="76"/>
    </row>
    <row r="20" spans="1:6" ht="15">
      <c r="A20" s="61"/>
      <c r="B20" s="56"/>
      <c r="C20" s="64"/>
      <c r="D20" s="64"/>
      <c r="E20" s="64"/>
      <c r="F20" s="76"/>
    </row>
    <row r="21" spans="1:6" ht="15" customHeight="1">
      <c r="A21" s="611" t="s">
        <v>875</v>
      </c>
      <c r="B21" s="611"/>
      <c r="C21" s="105">
        <f>C10/1165.55*100</f>
        <v>101.60954056025054</v>
      </c>
      <c r="D21" s="105">
        <f>D10/1181.16*100</f>
        <v>101.13447797080835</v>
      </c>
      <c r="E21" s="105">
        <f>E10/1040.74*100</f>
        <v>102.20324000230605</v>
      </c>
      <c r="F21" s="106">
        <f>F10/1291.4*100</f>
        <v>109.19389809509059</v>
      </c>
    </row>
    <row r="22" spans="1:6" ht="15" customHeight="1">
      <c r="A22" s="611" t="s">
        <v>868</v>
      </c>
      <c r="B22" s="611"/>
      <c r="C22" s="105">
        <f>C11/1213.65*100</f>
        <v>100.89070160260371</v>
      </c>
      <c r="D22" s="105">
        <f>D11/1279.57*100</f>
        <v>100.37825206905447</v>
      </c>
      <c r="E22" s="105">
        <f>E11/1015.04*100</f>
        <v>102.20877994955863</v>
      </c>
      <c r="F22" s="106">
        <f>F11/1199.58*100</f>
        <v>108.84476233348339</v>
      </c>
    </row>
    <row r="23" spans="1:6" ht="15" customHeight="1">
      <c r="A23" s="611" t="s">
        <v>876</v>
      </c>
      <c r="B23" s="611"/>
      <c r="C23" s="105">
        <f>C12/1169.19*100</f>
        <v>101.7738776417862</v>
      </c>
      <c r="D23" s="105">
        <f>D12/1190.86*100</f>
        <v>101.3099776632014</v>
      </c>
      <c r="E23" s="105">
        <f>E12/1042.22*100</f>
        <v>102.28838441020129</v>
      </c>
      <c r="F23" s="106">
        <f>F12/1310.16*100</f>
        <v>109.34618672528545</v>
      </c>
    </row>
    <row r="24" spans="1:6" ht="15" customHeight="1">
      <c r="A24" s="611" t="s">
        <v>877</v>
      </c>
      <c r="B24" s="611"/>
      <c r="C24" s="105">
        <f>C13/1199.03*100</f>
        <v>101.08837977365037</v>
      </c>
      <c r="D24" s="105">
        <f>D13/1234.86*100</f>
        <v>100.51260871677763</v>
      </c>
      <c r="E24" s="105">
        <f>E13/1052.45*100</f>
        <v>101.8404674806404</v>
      </c>
      <c r="F24" s="106">
        <f>F13/1273.6*100</f>
        <v>107.92399497487438</v>
      </c>
    </row>
    <row r="25" spans="1:6" ht="15" customHeight="1">
      <c r="A25" s="611" t="s">
        <v>878</v>
      </c>
      <c r="B25" s="611"/>
      <c r="C25" s="105">
        <f>C14/1261.06*100</f>
        <v>100.74223272485052</v>
      </c>
      <c r="D25" s="105">
        <f>D14/1300.85*100</f>
        <v>100.37437060383596</v>
      </c>
      <c r="E25" s="105">
        <f>E14/1065.92*100</f>
        <v>101.09013809666764</v>
      </c>
      <c r="F25" s="106">
        <f>F14/1272.63*100</f>
        <v>108.03454264004463</v>
      </c>
    </row>
    <row r="26" spans="1:6" ht="15" customHeight="1">
      <c r="A26" s="611" t="s">
        <v>879</v>
      </c>
      <c r="B26" s="611"/>
      <c r="C26" s="105">
        <f>C15/1193.23*100</f>
        <v>101.55963225865928</v>
      </c>
      <c r="D26" s="105">
        <f>D15/1219.2*100</f>
        <v>100.91535433070864</v>
      </c>
      <c r="E26" s="105">
        <f>E15/1063.27*100</f>
        <v>102.20640100821052</v>
      </c>
      <c r="F26" s="106">
        <f>F15/1382.82*100</f>
        <v>108.71118439131631</v>
      </c>
    </row>
    <row r="27" spans="1:6" ht="15" customHeight="1">
      <c r="A27" s="611" t="s">
        <v>881</v>
      </c>
      <c r="B27" s="615"/>
      <c r="C27" s="105">
        <f>C16/1150.29*100</f>
        <v>101.70304879639049</v>
      </c>
      <c r="D27" s="105">
        <f>D16/1167.84*100</f>
        <v>101.19194410193177</v>
      </c>
      <c r="E27" s="105">
        <f>E16/1029.5*100</f>
        <v>102.50898494414764</v>
      </c>
      <c r="F27" s="106">
        <f>F16/1242.1*100</f>
        <v>108.57257869736736</v>
      </c>
    </row>
    <row r="29" spans="1:6" ht="75.75" customHeight="1">
      <c r="A29" s="616" t="s">
        <v>1002</v>
      </c>
      <c r="B29" s="616"/>
      <c r="C29" s="616"/>
      <c r="D29" s="616"/>
      <c r="E29" s="616"/>
      <c r="F29" s="616"/>
    </row>
    <row r="30" spans="1:6" ht="79.5" customHeight="1">
      <c r="A30" s="608" t="s">
        <v>1003</v>
      </c>
      <c r="B30" s="608"/>
      <c r="C30" s="608"/>
      <c r="D30" s="608"/>
      <c r="E30" s="608"/>
      <c r="F30" s="608"/>
    </row>
  </sheetData>
  <mergeCells count="23">
    <mergeCell ref="A29:F29"/>
    <mergeCell ref="A30:F30"/>
    <mergeCell ref="A18:B18"/>
    <mergeCell ref="A21:B21"/>
    <mergeCell ref="A22:B22"/>
    <mergeCell ref="A23:B23"/>
    <mergeCell ref="A24:B24"/>
    <mergeCell ref="A25:B25"/>
    <mergeCell ref="A19:B19"/>
    <mergeCell ref="A27:B27"/>
    <mergeCell ref="A1:F1"/>
    <mergeCell ref="A2:F2"/>
    <mergeCell ref="A10:B10"/>
    <mergeCell ref="A11:B11"/>
    <mergeCell ref="A12:B12"/>
    <mergeCell ref="A4:B4"/>
    <mergeCell ref="A17:F17"/>
    <mergeCell ref="A6:F6"/>
    <mergeCell ref="A26:B26"/>
    <mergeCell ref="A16:B16"/>
    <mergeCell ref="A13:B13"/>
    <mergeCell ref="A14:B14"/>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69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Layout" workbookViewId="0" topLeftCell="A13">
      <selection activeCell="E31" sqref="E31"/>
    </sheetView>
  </sheetViews>
  <sheetFormatPr defaultColWidth="9.140625" defaultRowHeight="15"/>
  <cols>
    <col min="1" max="1" width="27.7109375" style="96" customWidth="1"/>
    <col min="2" max="2" width="6.140625" style="96" customWidth="1"/>
    <col min="3" max="5" width="17.7109375" style="96" customWidth="1"/>
    <col min="6" max="10" width="6.28125" style="96" customWidth="1"/>
    <col min="11" max="16384" width="9.140625" style="96" customWidth="1"/>
  </cols>
  <sheetData>
    <row r="1" spans="1:5" ht="39.95" customHeight="1">
      <c r="A1" s="584" t="s">
        <v>763</v>
      </c>
      <c r="B1" s="584"/>
      <c r="C1" s="584"/>
      <c r="D1" s="584"/>
      <c r="E1" s="584"/>
    </row>
    <row r="2" spans="1:5" ht="39.95" customHeight="1">
      <c r="A2" s="579" t="s">
        <v>764</v>
      </c>
      <c r="B2" s="579"/>
      <c r="C2" s="579"/>
      <c r="D2" s="579"/>
      <c r="E2" s="579"/>
    </row>
    <row r="3" spans="1:5" ht="9.95" customHeight="1">
      <c r="A3" s="97"/>
      <c r="B3" s="97"/>
      <c r="C3" s="97"/>
      <c r="D3" s="97"/>
      <c r="E3" s="97"/>
    </row>
    <row r="4" spans="1:5" ht="75.75" customHeight="1">
      <c r="A4" s="624" t="s">
        <v>602</v>
      </c>
      <c r="B4" s="625"/>
      <c r="C4" s="98" t="s">
        <v>637</v>
      </c>
      <c r="D4" s="98" t="s">
        <v>638</v>
      </c>
      <c r="E4" s="99" t="s">
        <v>639</v>
      </c>
    </row>
    <row r="5" spans="1:5" ht="0.75" customHeight="1">
      <c r="A5" s="175"/>
      <c r="B5" s="237"/>
      <c r="C5" s="350"/>
      <c r="D5" s="350"/>
      <c r="E5" s="351"/>
    </row>
    <row r="6" spans="1:5" ht="12.75" customHeight="1" hidden="1">
      <c r="A6" s="175"/>
      <c r="B6" s="237"/>
      <c r="C6" s="239"/>
      <c r="D6" s="239"/>
      <c r="E6" s="240"/>
    </row>
    <row r="7" spans="1:5" ht="21" customHeight="1">
      <c r="A7" s="612" t="s">
        <v>708</v>
      </c>
      <c r="B7" s="612"/>
      <c r="C7" s="612"/>
      <c r="D7" s="612"/>
      <c r="E7" s="612"/>
    </row>
    <row r="8" spans="1:5" ht="23.25" customHeight="1">
      <c r="A8" s="124" t="s">
        <v>309</v>
      </c>
      <c r="B8" s="59">
        <v>2017</v>
      </c>
      <c r="C8" s="348">
        <v>3297.43</v>
      </c>
      <c r="D8" s="306">
        <v>3514.03</v>
      </c>
      <c r="E8" s="327">
        <v>3345.65</v>
      </c>
    </row>
    <row r="9" spans="1:5" ht="14.1" customHeight="1">
      <c r="A9" s="352" t="s">
        <v>323</v>
      </c>
      <c r="B9" s="54"/>
      <c r="C9" s="349"/>
      <c r="D9" s="330"/>
      <c r="E9" s="331"/>
    </row>
    <row r="10" spans="1:5" ht="14.1" customHeight="1">
      <c r="A10" s="125" t="s">
        <v>324</v>
      </c>
      <c r="B10" s="54">
        <v>2016</v>
      </c>
      <c r="C10" s="349">
        <v>3257.54</v>
      </c>
      <c r="D10" s="330">
        <v>3476.02</v>
      </c>
      <c r="E10" s="331">
        <v>3348.8</v>
      </c>
    </row>
    <row r="11" spans="1:5" ht="14.1" customHeight="1">
      <c r="A11" s="102"/>
      <c r="B11" s="102"/>
      <c r="C11" s="103"/>
      <c r="D11" s="103"/>
      <c r="E11" s="104"/>
    </row>
    <row r="12" spans="1:5" ht="15" customHeight="1">
      <c r="A12" s="611" t="s">
        <v>100</v>
      </c>
      <c r="B12" s="615"/>
      <c r="C12" s="332">
        <v>3481.61</v>
      </c>
      <c r="D12" s="332">
        <v>3775.99</v>
      </c>
      <c r="E12" s="333">
        <v>3574.6</v>
      </c>
    </row>
    <row r="13" spans="1:5" ht="15" customHeight="1">
      <c r="A13" s="585" t="s">
        <v>101</v>
      </c>
      <c r="B13" s="634"/>
      <c r="C13" s="148"/>
      <c r="D13" s="148"/>
      <c r="E13" s="149"/>
    </row>
    <row r="14" spans="1:5" ht="15" customHeight="1">
      <c r="A14" s="611" t="s">
        <v>89</v>
      </c>
      <c r="B14" s="615"/>
      <c r="C14" s="332">
        <v>3145.26</v>
      </c>
      <c r="D14" s="332">
        <v>2849.54</v>
      </c>
      <c r="E14" s="333">
        <v>2870.65</v>
      </c>
    </row>
    <row r="15" spans="1:5" ht="15" customHeight="1">
      <c r="A15" s="585" t="s">
        <v>90</v>
      </c>
      <c r="B15" s="634"/>
      <c r="C15" s="148"/>
      <c r="D15" s="148"/>
      <c r="E15" s="149"/>
    </row>
    <row r="16" spans="1:5" ht="15" customHeight="1">
      <c r="A16" s="611" t="s">
        <v>91</v>
      </c>
      <c r="B16" s="611"/>
      <c r="C16" s="332">
        <v>2844.61</v>
      </c>
      <c r="D16" s="332">
        <v>2712.12</v>
      </c>
      <c r="E16" s="333">
        <v>2641.47</v>
      </c>
    </row>
    <row r="17" spans="1:5" ht="15" customHeight="1">
      <c r="A17" s="585" t="s">
        <v>92</v>
      </c>
      <c r="B17" s="634"/>
      <c r="C17" s="150"/>
      <c r="D17" s="150"/>
      <c r="E17" s="150"/>
    </row>
    <row r="18" spans="1:5" s="107" customFormat="1" ht="23.25" customHeight="1">
      <c r="A18" s="610" t="s">
        <v>560</v>
      </c>
      <c r="B18" s="610"/>
      <c r="C18" s="610"/>
      <c r="D18" s="610"/>
      <c r="E18" s="610"/>
    </row>
    <row r="19" spans="1:5" ht="28.5" customHeight="1">
      <c r="A19" s="662" t="s">
        <v>103</v>
      </c>
      <c r="B19" s="663"/>
      <c r="C19" s="100">
        <f>C8/C10*100</f>
        <v>101.2245436740608</v>
      </c>
      <c r="D19" s="109">
        <f>D8/D10*100</f>
        <v>101.09349198220954</v>
      </c>
      <c r="E19" s="109">
        <f>E8/E10*100</f>
        <v>99.9059364548495</v>
      </c>
    </row>
    <row r="20" spans="1:5" ht="13.5" customHeight="1">
      <c r="A20" s="664" t="s">
        <v>102</v>
      </c>
      <c r="B20" s="665"/>
      <c r="C20" s="64"/>
      <c r="D20" s="64"/>
      <c r="E20" s="76"/>
    </row>
    <row r="21" spans="1:5" ht="15">
      <c r="A21" s="102"/>
      <c r="B21" s="102"/>
      <c r="C21" s="64"/>
      <c r="D21" s="64"/>
      <c r="E21" s="76"/>
    </row>
    <row r="22" spans="1:5" ht="15" customHeight="1">
      <c r="A22" s="611" t="s">
        <v>100</v>
      </c>
      <c r="B22" s="615"/>
      <c r="C22" s="105">
        <f>C12/3431.76*100</f>
        <v>101.45260740844348</v>
      </c>
      <c r="D22" s="105">
        <f>D12/3719.34*100</f>
        <v>101.5231196932789</v>
      </c>
      <c r="E22" s="106">
        <f>E12/3570.55*100</f>
        <v>100.11342790326418</v>
      </c>
    </row>
    <row r="23" spans="1:5" ht="15" customHeight="1">
      <c r="A23" s="585" t="s">
        <v>101</v>
      </c>
      <c r="B23" s="634"/>
      <c r="C23" s="105"/>
      <c r="D23" s="105"/>
      <c r="E23" s="106"/>
    </row>
    <row r="24" spans="1:5" ht="15" customHeight="1">
      <c r="A24" s="611" t="s">
        <v>89</v>
      </c>
      <c r="B24" s="615"/>
      <c r="C24" s="105">
        <f>C14/3143.53*100</f>
        <v>100.05503367233652</v>
      </c>
      <c r="D24" s="105">
        <f>D14/2814.45*100</f>
        <v>101.24678001030398</v>
      </c>
      <c r="E24" s="106">
        <f>E14/2898.3*100</f>
        <v>99.04599247834938</v>
      </c>
    </row>
    <row r="25" spans="1:5" ht="15" customHeight="1">
      <c r="A25" s="585" t="s">
        <v>90</v>
      </c>
      <c r="B25" s="634"/>
      <c r="C25" s="105"/>
      <c r="D25" s="105"/>
      <c r="E25" s="106"/>
    </row>
    <row r="26" spans="1:5" ht="15" customHeight="1">
      <c r="A26" s="611" t="s">
        <v>91</v>
      </c>
      <c r="B26" s="611"/>
      <c r="C26" s="105">
        <f>C16/2819.28*100</f>
        <v>100.89845634346358</v>
      </c>
      <c r="D26" s="105">
        <f>D16/2755.72*100</f>
        <v>98.41783635492722</v>
      </c>
      <c r="E26" s="106">
        <f>E16/2702.18*100</f>
        <v>97.75329548734724</v>
      </c>
    </row>
    <row r="27" spans="1:5" ht="15" customHeight="1">
      <c r="A27" s="585" t="s">
        <v>92</v>
      </c>
      <c r="B27" s="634"/>
      <c r="C27" s="148"/>
      <c r="D27" s="148"/>
      <c r="E27" s="149"/>
    </row>
    <row r="29" spans="1:5" ht="15" customHeight="1">
      <c r="A29" s="609" t="s">
        <v>971</v>
      </c>
      <c r="B29" s="609"/>
      <c r="C29" s="609"/>
      <c r="D29" s="609"/>
      <c r="E29" s="609"/>
    </row>
    <row r="30" spans="1:5" ht="15" customHeight="1">
      <c r="A30" s="608" t="s">
        <v>1004</v>
      </c>
      <c r="B30" s="608"/>
      <c r="C30" s="608"/>
      <c r="D30" s="608"/>
      <c r="E30" s="608"/>
    </row>
    <row r="31" ht="15">
      <c r="A31" s="113"/>
    </row>
    <row r="32" ht="15">
      <c r="A32" s="113"/>
    </row>
  </sheetData>
  <mergeCells count="21">
    <mergeCell ref="A26:B26"/>
    <mergeCell ref="A27:B27"/>
    <mergeCell ref="A29:E29"/>
    <mergeCell ref="A30:E30"/>
    <mergeCell ref="A7:E7"/>
    <mergeCell ref="A18:E18"/>
    <mergeCell ref="A19:B19"/>
    <mergeCell ref="A20:B20"/>
    <mergeCell ref="A17:B17"/>
    <mergeCell ref="A22:B22"/>
    <mergeCell ref="A23:B23"/>
    <mergeCell ref="A24:B24"/>
    <mergeCell ref="A25:B25"/>
    <mergeCell ref="A12:B12"/>
    <mergeCell ref="A13:B13"/>
    <mergeCell ref="A14:B14"/>
    <mergeCell ref="A15:B15"/>
    <mergeCell ref="A16:B16"/>
    <mergeCell ref="A1:E1"/>
    <mergeCell ref="A2:E2"/>
    <mergeCell ref="A4:B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70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workbookViewId="0" topLeftCell="A22">
      <selection activeCell="E31" sqref="E31"/>
    </sheetView>
  </sheetViews>
  <sheetFormatPr defaultColWidth="9.140625" defaultRowHeight="15"/>
  <cols>
    <col min="1" max="1" width="30.8515625" style="4" customWidth="1"/>
    <col min="2" max="2" width="9.8515625" style="4" customWidth="1"/>
    <col min="3" max="7" width="9.28125" style="4" customWidth="1"/>
    <col min="8" max="16384" width="9.140625" style="4" customWidth="1"/>
  </cols>
  <sheetData>
    <row r="1" spans="1:8" s="355" customFormat="1" ht="39.95" customHeight="1">
      <c r="A1" s="584" t="s">
        <v>310</v>
      </c>
      <c r="B1" s="584"/>
      <c r="C1" s="584"/>
      <c r="D1" s="584"/>
      <c r="E1" s="584"/>
      <c r="F1" s="584"/>
      <c r="G1" s="584"/>
      <c r="H1" s="24"/>
    </row>
    <row r="2" spans="1:7" ht="24.95" customHeight="1">
      <c r="A2" s="633" t="s">
        <v>311</v>
      </c>
      <c r="B2" s="633"/>
      <c r="C2" s="633"/>
      <c r="D2" s="633"/>
      <c r="E2" s="633"/>
      <c r="F2" s="633"/>
      <c r="G2" s="633"/>
    </row>
    <row r="3" spans="1:7" ht="9.95" customHeight="1">
      <c r="A3" s="236"/>
      <c r="B3" s="236"/>
      <c r="C3" s="236"/>
      <c r="D3" s="236"/>
      <c r="E3" s="236"/>
      <c r="F3" s="236"/>
      <c r="G3" s="236"/>
    </row>
    <row r="4" spans="1:7" ht="46.5" customHeight="1">
      <c r="A4" s="580" t="s">
        <v>595</v>
      </c>
      <c r="B4" s="639" t="s">
        <v>765</v>
      </c>
      <c r="C4" s="648"/>
      <c r="D4" s="639" t="s">
        <v>766</v>
      </c>
      <c r="E4" s="648"/>
      <c r="F4" s="639" t="s">
        <v>767</v>
      </c>
      <c r="G4" s="640"/>
    </row>
    <row r="5" spans="1:7" ht="78" customHeight="1">
      <c r="A5" s="581"/>
      <c r="B5" s="27" t="s">
        <v>768</v>
      </c>
      <c r="C5" s="26" t="s">
        <v>561</v>
      </c>
      <c r="D5" s="27" t="s">
        <v>768</v>
      </c>
      <c r="E5" s="26" t="s">
        <v>561</v>
      </c>
      <c r="F5" s="27" t="s">
        <v>769</v>
      </c>
      <c r="G5" s="28" t="s">
        <v>561</v>
      </c>
    </row>
    <row r="6" spans="1:7" ht="21.75" customHeight="1">
      <c r="A6" s="612" t="s">
        <v>770</v>
      </c>
      <c r="B6" s="612"/>
      <c r="C6" s="612"/>
      <c r="D6" s="612"/>
      <c r="E6" s="612"/>
      <c r="F6" s="612"/>
      <c r="G6" s="612"/>
    </row>
    <row r="7" spans="1:7" ht="15" customHeight="1">
      <c r="A7" s="197" t="s">
        <v>111</v>
      </c>
      <c r="B7" s="356">
        <v>85230</v>
      </c>
      <c r="C7" s="357">
        <v>91.4</v>
      </c>
      <c r="D7" s="356">
        <v>6919</v>
      </c>
      <c r="E7" s="356">
        <v>91.6</v>
      </c>
      <c r="F7" s="356">
        <v>43206</v>
      </c>
      <c r="G7" s="358">
        <f>F7/48132*100</f>
        <v>89.76564447768635</v>
      </c>
    </row>
    <row r="8" spans="1:7" ht="24.95" customHeight="1">
      <c r="A8" s="196" t="s">
        <v>104</v>
      </c>
      <c r="B8" s="31"/>
      <c r="C8" s="31"/>
      <c r="D8" s="31"/>
      <c r="E8" s="31"/>
      <c r="F8" s="31"/>
      <c r="G8" s="359"/>
    </row>
    <row r="9" spans="1:7" ht="15" customHeight="1">
      <c r="A9" s="197" t="s">
        <v>312</v>
      </c>
      <c r="B9" s="360">
        <v>28243</v>
      </c>
      <c r="C9" s="38">
        <v>86.7</v>
      </c>
      <c r="D9" s="360">
        <v>2358</v>
      </c>
      <c r="E9" s="360">
        <v>89.9</v>
      </c>
      <c r="F9" s="360">
        <v>13263</v>
      </c>
      <c r="G9" s="361">
        <f>F9/15183*100</f>
        <v>87.35427781070935</v>
      </c>
    </row>
    <row r="10" spans="1:7" ht="15" customHeight="1">
      <c r="A10" s="196" t="s">
        <v>105</v>
      </c>
      <c r="B10" s="38"/>
      <c r="C10" s="39"/>
      <c r="D10" s="38"/>
      <c r="E10" s="39"/>
      <c r="F10" s="38"/>
      <c r="G10" s="361"/>
    </row>
    <row r="11" spans="1:7" s="365" customFormat="1" ht="12.95" customHeight="1">
      <c r="A11" s="362" t="s">
        <v>317</v>
      </c>
      <c r="B11" s="363"/>
      <c r="C11" s="363"/>
      <c r="D11" s="363"/>
      <c r="E11" s="363"/>
      <c r="F11" s="363"/>
      <c r="G11" s="364"/>
    </row>
    <row r="12" spans="1:7" ht="12.95" customHeight="1">
      <c r="A12" s="197" t="s">
        <v>318</v>
      </c>
      <c r="B12" s="363" t="s">
        <v>94</v>
      </c>
      <c r="C12" s="363" t="s">
        <v>251</v>
      </c>
      <c r="D12" s="363" t="s">
        <v>94</v>
      </c>
      <c r="E12" s="363" t="s">
        <v>251</v>
      </c>
      <c r="F12" s="363" t="s">
        <v>94</v>
      </c>
      <c r="G12" s="364" t="s">
        <v>251</v>
      </c>
    </row>
    <row r="13" spans="1:7" ht="24">
      <c r="A13" s="196" t="s">
        <v>106</v>
      </c>
      <c r="B13" s="38"/>
      <c r="C13" s="39"/>
      <c r="D13" s="38"/>
      <c r="E13" s="39"/>
      <c r="F13" s="38"/>
      <c r="G13" s="361"/>
    </row>
    <row r="14" spans="1:7" ht="12.95" customHeight="1">
      <c r="A14" s="257" t="s">
        <v>319</v>
      </c>
      <c r="B14" s="360"/>
      <c r="C14" s="39"/>
      <c r="D14" s="360"/>
      <c r="E14" s="39"/>
      <c r="F14" s="360"/>
      <c r="G14" s="361"/>
    </row>
    <row r="15" spans="1:7" ht="12.95" customHeight="1">
      <c r="A15" s="197" t="s">
        <v>320</v>
      </c>
      <c r="B15" s="360">
        <v>554</v>
      </c>
      <c r="C15" s="38">
        <v>88.5</v>
      </c>
      <c r="D15" s="360">
        <v>245</v>
      </c>
      <c r="E15" s="360">
        <v>90.7</v>
      </c>
      <c r="F15" s="360">
        <v>1520</v>
      </c>
      <c r="G15" s="361">
        <f>F15/1661*100</f>
        <v>91.51113786875376</v>
      </c>
    </row>
    <row r="16" spans="1:7" ht="15" customHeight="1">
      <c r="A16" s="196" t="s">
        <v>107</v>
      </c>
      <c r="B16" s="38"/>
      <c r="C16" s="38"/>
      <c r="D16" s="38"/>
      <c r="E16" s="38"/>
      <c r="F16" s="38"/>
      <c r="G16" s="361"/>
    </row>
    <row r="17" spans="1:7" ht="12.95" customHeight="1">
      <c r="A17" s="257" t="s">
        <v>321</v>
      </c>
      <c r="B17" s="360"/>
      <c r="C17" s="360"/>
      <c r="D17" s="360"/>
      <c r="E17" s="360"/>
      <c r="F17" s="360"/>
      <c r="G17" s="361"/>
    </row>
    <row r="18" spans="1:7" ht="12.95" customHeight="1">
      <c r="A18" s="197" t="s">
        <v>322</v>
      </c>
      <c r="B18" s="360">
        <v>12819</v>
      </c>
      <c r="C18" s="38">
        <v>93.1</v>
      </c>
      <c r="D18" s="360">
        <v>2316</v>
      </c>
      <c r="E18" s="360">
        <v>89.4</v>
      </c>
      <c r="F18" s="360">
        <v>16329</v>
      </c>
      <c r="G18" s="361">
        <f>F18/18382*100</f>
        <v>88.83146556413884</v>
      </c>
    </row>
    <row r="19" spans="1:7" ht="15" customHeight="1">
      <c r="A19" s="196" t="s">
        <v>108</v>
      </c>
      <c r="B19" s="35"/>
      <c r="C19" s="35"/>
      <c r="D19" s="35"/>
      <c r="E19" s="35"/>
      <c r="F19" s="35"/>
      <c r="G19" s="366"/>
    </row>
    <row r="20" spans="1:7" ht="15" customHeight="1">
      <c r="A20" s="197" t="s">
        <v>313</v>
      </c>
      <c r="B20" s="367">
        <v>84518</v>
      </c>
      <c r="C20" s="368">
        <v>91.3</v>
      </c>
      <c r="D20" s="367">
        <v>6426</v>
      </c>
      <c r="E20" s="367">
        <v>91.9</v>
      </c>
      <c r="F20" s="367">
        <v>40369</v>
      </c>
      <c r="G20" s="369">
        <f>F20/45184*100</f>
        <v>89.34357294617564</v>
      </c>
    </row>
    <row r="21" spans="1:7" ht="15" customHeight="1">
      <c r="A21" s="196" t="s">
        <v>109</v>
      </c>
      <c r="B21" s="353"/>
      <c r="C21" s="353"/>
      <c r="D21" s="353"/>
      <c r="E21" s="353"/>
      <c r="F21" s="353"/>
      <c r="G21" s="354"/>
    </row>
    <row r="22" spans="1:7" ht="21" customHeight="1">
      <c r="A22" s="666" t="s">
        <v>771</v>
      </c>
      <c r="B22" s="666"/>
      <c r="C22" s="666"/>
      <c r="D22" s="666"/>
      <c r="E22" s="666"/>
      <c r="F22" s="666"/>
      <c r="G22" s="666"/>
    </row>
    <row r="23" spans="1:7" ht="15" customHeight="1">
      <c r="A23" s="197" t="s">
        <v>111</v>
      </c>
      <c r="B23" s="370">
        <v>14180482.3</v>
      </c>
      <c r="C23" s="371">
        <f>B23/15469241*100</f>
        <v>91.66889506731457</v>
      </c>
      <c r="D23" s="370">
        <v>1148899.95</v>
      </c>
      <c r="E23" s="371">
        <v>91.6</v>
      </c>
      <c r="F23" s="370">
        <v>7149615</v>
      </c>
      <c r="G23" s="371">
        <f>F23/7975451*100</f>
        <v>89.64527523271097</v>
      </c>
    </row>
    <row r="24" spans="1:7" ht="24.95" customHeight="1">
      <c r="A24" s="196" t="s">
        <v>104</v>
      </c>
      <c r="B24" s="372"/>
      <c r="C24" s="372"/>
      <c r="D24" s="372"/>
      <c r="E24" s="372"/>
      <c r="F24" s="372"/>
      <c r="G24" s="371"/>
    </row>
    <row r="25" spans="1:7" ht="15" customHeight="1">
      <c r="A25" s="197" t="s">
        <v>312</v>
      </c>
      <c r="B25" s="370">
        <v>5917077.7</v>
      </c>
      <c r="C25" s="371">
        <f>B25/6802692*100</f>
        <v>86.98141412252679</v>
      </c>
      <c r="D25" s="370">
        <v>493835</v>
      </c>
      <c r="E25" s="371">
        <v>90.3</v>
      </c>
      <c r="F25" s="370">
        <v>2737200</v>
      </c>
      <c r="G25" s="371">
        <f>F25/3150003*100</f>
        <v>86.8951553379473</v>
      </c>
    </row>
    <row r="26" spans="1:7" ht="15">
      <c r="A26" s="196" t="s">
        <v>105</v>
      </c>
      <c r="B26" s="372"/>
      <c r="C26" s="372"/>
      <c r="D26" s="372"/>
      <c r="E26" s="372"/>
      <c r="F26" s="372"/>
      <c r="G26" s="372"/>
    </row>
    <row r="27" spans="1:7" ht="12.95" customHeight="1">
      <c r="A27" s="362" t="s">
        <v>317</v>
      </c>
      <c r="B27" s="256"/>
      <c r="C27" s="256"/>
      <c r="D27" s="256"/>
      <c r="E27" s="256"/>
      <c r="F27" s="256"/>
      <c r="G27" s="256"/>
    </row>
    <row r="28" spans="1:7" ht="12.95" customHeight="1">
      <c r="A28" s="197" t="s">
        <v>318</v>
      </c>
      <c r="B28" s="256" t="s">
        <v>94</v>
      </c>
      <c r="C28" s="256" t="s">
        <v>251</v>
      </c>
      <c r="D28" s="256" t="s">
        <v>94</v>
      </c>
      <c r="E28" s="256" t="s">
        <v>251</v>
      </c>
      <c r="F28" s="256" t="s">
        <v>94</v>
      </c>
      <c r="G28" s="256" t="s">
        <v>251</v>
      </c>
    </row>
    <row r="29" spans="1:7" ht="24.95" customHeight="1">
      <c r="A29" s="196" t="s">
        <v>106</v>
      </c>
      <c r="B29" s="372"/>
      <c r="C29" s="372"/>
      <c r="D29" s="372"/>
      <c r="E29" s="372"/>
      <c r="F29" s="372"/>
      <c r="G29" s="372"/>
    </row>
    <row r="30" spans="1:7" ht="12.95" customHeight="1">
      <c r="A30" s="257" t="s">
        <v>319</v>
      </c>
      <c r="B30" s="370"/>
      <c r="C30" s="372"/>
      <c r="D30" s="370"/>
      <c r="E30" s="372"/>
      <c r="F30" s="370"/>
      <c r="G30" s="372"/>
    </row>
    <row r="31" spans="1:7" ht="12.95" customHeight="1">
      <c r="A31" s="197" t="s">
        <v>320</v>
      </c>
      <c r="B31" s="370">
        <v>108138.6</v>
      </c>
      <c r="C31" s="371">
        <f>B31/122460*100</f>
        <v>88.30524252817247</v>
      </c>
      <c r="D31" s="370">
        <v>40313</v>
      </c>
      <c r="E31" s="371">
        <v>89.2</v>
      </c>
      <c r="F31" s="370">
        <v>275742</v>
      </c>
      <c r="G31" s="371">
        <f>F31/300940*100</f>
        <v>91.62690237256595</v>
      </c>
    </row>
    <row r="32" spans="1:7" ht="15">
      <c r="A32" s="196" t="s">
        <v>107</v>
      </c>
      <c r="B32" s="372"/>
      <c r="C32" s="372"/>
      <c r="D32" s="372"/>
      <c r="E32" s="372"/>
      <c r="F32" s="372"/>
      <c r="G32" s="371"/>
    </row>
    <row r="33" spans="1:7" ht="12.95" customHeight="1">
      <c r="A33" s="257" t="s">
        <v>321</v>
      </c>
      <c r="B33" s="370"/>
      <c r="C33" s="370"/>
      <c r="D33" s="370"/>
      <c r="E33" s="370"/>
      <c r="F33" s="370"/>
      <c r="G33" s="371"/>
    </row>
    <row r="34" spans="1:7" ht="12.95" customHeight="1">
      <c r="A34" s="197" t="s">
        <v>322</v>
      </c>
      <c r="B34" s="370">
        <v>2284734.47</v>
      </c>
      <c r="C34" s="371">
        <f>B34/2448376*100</f>
        <v>93.31632355487884</v>
      </c>
      <c r="D34" s="370">
        <v>427087</v>
      </c>
      <c r="E34" s="371">
        <v>89.2</v>
      </c>
      <c r="F34" s="370">
        <v>3005464</v>
      </c>
      <c r="G34" s="371">
        <f>F34/3393486*100</f>
        <v>88.5656814261205</v>
      </c>
    </row>
    <row r="35" spans="1:7" ht="15">
      <c r="A35" s="196" t="s">
        <v>108</v>
      </c>
      <c r="B35" s="372"/>
      <c r="C35" s="372"/>
      <c r="D35" s="372"/>
      <c r="E35" s="372"/>
      <c r="F35" s="372"/>
      <c r="G35" s="371"/>
    </row>
    <row r="36" spans="1:7" ht="15">
      <c r="A36" s="197" t="s">
        <v>314</v>
      </c>
      <c r="B36" s="370">
        <v>2660552.8</v>
      </c>
      <c r="C36" s="371">
        <f>B36/2953754*100</f>
        <v>90.07360802558371</v>
      </c>
      <c r="D36" s="370">
        <v>201877</v>
      </c>
      <c r="E36" s="371">
        <v>92.2</v>
      </c>
      <c r="F36" s="370">
        <v>1263338</v>
      </c>
      <c r="G36" s="371">
        <f>F36/1409111*100</f>
        <v>89.65496685498871</v>
      </c>
    </row>
    <row r="37" spans="1:7" ht="15">
      <c r="A37" s="196" t="s">
        <v>109</v>
      </c>
      <c r="B37" s="372"/>
      <c r="C37" s="372"/>
      <c r="D37" s="372"/>
      <c r="E37" s="372"/>
      <c r="F37" s="372"/>
      <c r="G37" s="372"/>
    </row>
  </sheetData>
  <mergeCells count="8">
    <mergeCell ref="A22:G22"/>
    <mergeCell ref="A4:A5"/>
    <mergeCell ref="A1:G1"/>
    <mergeCell ref="A2:G2"/>
    <mergeCell ref="B4:C4"/>
    <mergeCell ref="D4:E4"/>
    <mergeCell ref="F4:G4"/>
    <mergeCell ref="A6:G6"/>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71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workbookViewId="0" topLeftCell="A16">
      <selection activeCell="E31" sqref="E31"/>
    </sheetView>
  </sheetViews>
  <sheetFormatPr defaultColWidth="9.140625" defaultRowHeight="15"/>
  <cols>
    <col min="1" max="1" width="13.140625" style="46" customWidth="1"/>
    <col min="2" max="2" width="15.140625" style="46" customWidth="1"/>
    <col min="3" max="6" width="14.7109375" style="46" customWidth="1"/>
    <col min="7" max="16384" width="9.140625" style="46" customWidth="1"/>
  </cols>
  <sheetData>
    <row r="1" spans="1:6" ht="27.95" customHeight="1">
      <c r="A1" s="584" t="s">
        <v>772</v>
      </c>
      <c r="B1" s="584"/>
      <c r="C1" s="584"/>
      <c r="D1" s="584"/>
      <c r="E1" s="584"/>
      <c r="F1" s="584"/>
    </row>
    <row r="2" spans="1:9" ht="27.95" customHeight="1">
      <c r="A2" s="579" t="s">
        <v>773</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774</v>
      </c>
      <c r="D4" s="590"/>
      <c r="E4" s="589" t="s">
        <v>775</v>
      </c>
      <c r="F4" s="591"/>
    </row>
    <row r="5" spans="1:6" ht="75.75" customHeight="1">
      <c r="A5" s="598"/>
      <c r="B5" s="593"/>
      <c r="C5" s="49" t="s">
        <v>776</v>
      </c>
      <c r="D5" s="50" t="s">
        <v>560</v>
      </c>
      <c r="E5" s="566" t="s">
        <v>777</v>
      </c>
      <c r="F5" s="51" t="s">
        <v>560</v>
      </c>
    </row>
    <row r="6" spans="1:6" ht="15">
      <c r="A6" s="600"/>
      <c r="B6" s="601"/>
      <c r="C6" s="53"/>
      <c r="D6" s="56"/>
      <c r="E6" s="53"/>
      <c r="F6" s="56"/>
    </row>
    <row r="7" spans="1:6" ht="15" customHeight="1">
      <c r="A7" s="595" t="s">
        <v>111</v>
      </c>
      <c r="B7" s="596"/>
      <c r="C7" s="171">
        <f>196894*12</f>
        <v>2362728</v>
      </c>
      <c r="D7" s="234">
        <f>C7/2568852*100</f>
        <v>91.97602664536532</v>
      </c>
      <c r="E7" s="144">
        <v>392572.9</v>
      </c>
      <c r="F7" s="308">
        <f>E7/427090*100</f>
        <v>91.91807347397504</v>
      </c>
    </row>
    <row r="8" spans="1:6" ht="24.95" customHeight="1">
      <c r="A8" s="633" t="s">
        <v>104</v>
      </c>
      <c r="B8" s="672"/>
      <c r="C8" s="172"/>
      <c r="D8" s="234"/>
      <c r="E8" s="62"/>
      <c r="F8" s="308"/>
    </row>
    <row r="9" spans="1:6" ht="15" customHeight="1">
      <c r="A9" s="602" t="s">
        <v>112</v>
      </c>
      <c r="B9" s="603"/>
      <c r="C9" s="171">
        <f>65573*12</f>
        <v>786876</v>
      </c>
      <c r="D9" s="234">
        <f>C9/877224*100</f>
        <v>89.70069218352438</v>
      </c>
      <c r="E9" s="144">
        <v>164450.8</v>
      </c>
      <c r="F9" s="308">
        <f>E9/182662*100</f>
        <v>90.03011025829126</v>
      </c>
    </row>
    <row r="10" spans="1:6" ht="15" customHeight="1">
      <c r="A10" s="669" t="s">
        <v>105</v>
      </c>
      <c r="B10" s="670" t="s">
        <v>105</v>
      </c>
      <c r="C10" s="172"/>
      <c r="D10" s="234"/>
      <c r="E10" s="62"/>
      <c r="F10" s="308"/>
    </row>
    <row r="11" spans="1:6" ht="12.95" customHeight="1">
      <c r="A11" s="667" t="s">
        <v>326</v>
      </c>
      <c r="B11" s="668" t="s">
        <v>110</v>
      </c>
      <c r="C11" s="171"/>
      <c r="D11" s="234"/>
      <c r="E11" s="144"/>
      <c r="F11" s="308"/>
    </row>
    <row r="12" spans="1:6" ht="12.95" customHeight="1">
      <c r="A12" s="595" t="s">
        <v>327</v>
      </c>
      <c r="B12" s="596"/>
      <c r="C12" s="171">
        <v>19420</v>
      </c>
      <c r="D12" s="234">
        <f>C12/13076*100</f>
        <v>148.5163658611196</v>
      </c>
      <c r="E12" s="144">
        <v>12410.2</v>
      </c>
      <c r="F12" s="308">
        <f>E12/8691*100</f>
        <v>142.79369462662527</v>
      </c>
    </row>
    <row r="13" spans="1:6" ht="24.95" customHeight="1">
      <c r="A13" s="669" t="s">
        <v>106</v>
      </c>
      <c r="B13" s="670" t="s">
        <v>106</v>
      </c>
      <c r="C13" s="172"/>
      <c r="D13" s="234"/>
      <c r="E13" s="62"/>
      <c r="F13" s="308"/>
    </row>
    <row r="14" spans="1:6" ht="12.95" customHeight="1">
      <c r="A14" s="651" t="s">
        <v>319</v>
      </c>
      <c r="B14" s="671"/>
      <c r="C14" s="171"/>
      <c r="D14" s="234"/>
      <c r="E14" s="144"/>
      <c r="F14" s="308"/>
    </row>
    <row r="15" spans="1:6" ht="12.95" customHeight="1">
      <c r="A15" s="673" t="s">
        <v>320</v>
      </c>
      <c r="B15" s="674"/>
      <c r="C15" s="171">
        <f>14867*12</f>
        <v>178404</v>
      </c>
      <c r="D15" s="234">
        <f>C15/202428*100</f>
        <v>88.13207659019503</v>
      </c>
      <c r="E15" s="144">
        <v>32081</v>
      </c>
      <c r="F15" s="308">
        <f>E15/36404*100</f>
        <v>88.12493132622788</v>
      </c>
    </row>
    <row r="16" spans="1:6" ht="15" customHeight="1">
      <c r="A16" s="669" t="s">
        <v>107</v>
      </c>
      <c r="B16" s="670" t="s">
        <v>107</v>
      </c>
      <c r="C16" s="172"/>
      <c r="D16" s="234"/>
      <c r="E16" s="62"/>
      <c r="F16" s="308"/>
    </row>
    <row r="17" spans="1:6" ht="12.95" customHeight="1">
      <c r="A17" s="667" t="s">
        <v>321</v>
      </c>
      <c r="B17" s="668" t="s">
        <v>110</v>
      </c>
      <c r="C17" s="171">
        <v>677016</v>
      </c>
      <c r="D17" s="234">
        <f>C17/755280*100</f>
        <v>89.63775023832221</v>
      </c>
      <c r="E17" s="144">
        <v>122696</v>
      </c>
      <c r="F17" s="308">
        <f>E17/137178*100</f>
        <v>89.44291358672673</v>
      </c>
    </row>
    <row r="18" spans="1:6" ht="12.95" customHeight="1">
      <c r="A18" s="595" t="s">
        <v>328</v>
      </c>
      <c r="B18" s="596"/>
      <c r="C18" s="171"/>
      <c r="D18" s="234"/>
      <c r="E18" s="144"/>
      <c r="F18" s="308"/>
    </row>
    <row r="19" spans="1:6" ht="15" customHeight="1">
      <c r="A19" s="669" t="s">
        <v>108</v>
      </c>
      <c r="B19" s="670" t="s">
        <v>108</v>
      </c>
      <c r="C19" s="172"/>
      <c r="D19" s="234"/>
      <c r="E19" s="62"/>
      <c r="F19" s="308"/>
    </row>
    <row r="20" spans="1:6" ht="15" customHeight="1">
      <c r="A20" s="602" t="s">
        <v>116</v>
      </c>
      <c r="B20" s="603"/>
      <c r="C20" s="171">
        <f>167856*12</f>
        <v>2014272</v>
      </c>
      <c r="D20" s="234">
        <f>C20/2195664*100</f>
        <v>91.73862667511969</v>
      </c>
      <c r="E20" s="144">
        <v>63437.1</v>
      </c>
      <c r="F20" s="308">
        <f>E20/68802*100</f>
        <v>92.20240690677596</v>
      </c>
    </row>
    <row r="21" spans="1:6" ht="15" customHeight="1">
      <c r="A21" s="669" t="s">
        <v>113</v>
      </c>
      <c r="B21" s="670" t="s">
        <v>105</v>
      </c>
      <c r="C21" s="172"/>
      <c r="D21" s="172"/>
      <c r="E21" s="62"/>
      <c r="F21" s="56"/>
    </row>
    <row r="22" spans="1:6" ht="8.25" customHeight="1">
      <c r="A22" s="69"/>
      <c r="B22" s="69"/>
      <c r="C22" s="48"/>
      <c r="D22" s="48"/>
      <c r="E22" s="56"/>
      <c r="F22" s="56"/>
    </row>
    <row r="23" spans="1:6" ht="13.5" customHeight="1">
      <c r="A23" s="609" t="s">
        <v>114</v>
      </c>
      <c r="B23" s="609"/>
      <c r="C23" s="609"/>
      <c r="D23" s="609"/>
      <c r="E23" s="609"/>
      <c r="F23" s="609"/>
    </row>
    <row r="24" spans="1:6" ht="14.25" customHeight="1">
      <c r="A24" s="608" t="s">
        <v>115</v>
      </c>
      <c r="B24" s="608"/>
      <c r="C24" s="608"/>
      <c r="D24" s="608"/>
      <c r="E24" s="608"/>
      <c r="F24" s="608"/>
    </row>
    <row r="25" ht="43.5" customHeight="1">
      <c r="A25" s="113"/>
    </row>
    <row r="26" ht="43.5" customHeight="1">
      <c r="A26" s="113"/>
    </row>
    <row r="27" ht="15" customHeight="1">
      <c r="A27" s="113"/>
    </row>
  </sheetData>
  <mergeCells count="23">
    <mergeCell ref="A18:B18"/>
    <mergeCell ref="A17:B17"/>
    <mergeCell ref="A23:F23"/>
    <mergeCell ref="A24:F24"/>
    <mergeCell ref="A19:B19"/>
    <mergeCell ref="A21:B21"/>
    <mergeCell ref="A20:B20"/>
    <mergeCell ref="A4:B5"/>
    <mergeCell ref="C4:D4"/>
    <mergeCell ref="E4:F4"/>
    <mergeCell ref="A1:F1"/>
    <mergeCell ref="A2:F2"/>
    <mergeCell ref="A11:B11"/>
    <mergeCell ref="A13:B13"/>
    <mergeCell ref="A14:B14"/>
    <mergeCell ref="A16:B16"/>
    <mergeCell ref="A6:B6"/>
    <mergeCell ref="A7:B7"/>
    <mergeCell ref="A8:B8"/>
    <mergeCell ref="A9:B9"/>
    <mergeCell ref="A10:B10"/>
    <mergeCell ref="A12:B12"/>
    <mergeCell ref="A15:B1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72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workbookViewId="0" topLeftCell="A7">
      <selection activeCell="E31" sqref="E31"/>
    </sheetView>
  </sheetViews>
  <sheetFormatPr defaultColWidth="9.140625" defaultRowHeight="15"/>
  <cols>
    <col min="1" max="1" width="13.140625" style="46" customWidth="1"/>
    <col min="2" max="2" width="14.57421875" style="46" customWidth="1"/>
    <col min="3" max="6" width="14.7109375" style="46" customWidth="1"/>
    <col min="7" max="16384" width="9.140625" style="46" customWidth="1"/>
  </cols>
  <sheetData>
    <row r="1" spans="1:6" ht="27.95" customHeight="1">
      <c r="A1" s="584" t="s">
        <v>315</v>
      </c>
      <c r="B1" s="584"/>
      <c r="C1" s="584"/>
      <c r="D1" s="584"/>
      <c r="E1" s="584"/>
      <c r="F1" s="584"/>
    </row>
    <row r="2" spans="1:9" ht="27.95" customHeight="1">
      <c r="A2" s="579" t="s">
        <v>316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774</v>
      </c>
      <c r="D4" s="590"/>
      <c r="E4" s="589" t="s">
        <v>775</v>
      </c>
      <c r="F4" s="591"/>
    </row>
    <row r="5" spans="1:6" ht="75.75" customHeight="1">
      <c r="A5" s="598"/>
      <c r="B5" s="593"/>
      <c r="C5" s="49" t="s">
        <v>776</v>
      </c>
      <c r="D5" s="50" t="s">
        <v>560</v>
      </c>
      <c r="E5" s="49" t="s">
        <v>777</v>
      </c>
      <c r="F5" s="51" t="s">
        <v>560</v>
      </c>
    </row>
    <row r="6" spans="1:6" ht="15">
      <c r="A6" s="600"/>
      <c r="B6" s="601"/>
      <c r="C6" s="53"/>
      <c r="D6" s="56"/>
      <c r="E6" s="53"/>
      <c r="F6" s="56"/>
    </row>
    <row r="7" spans="1:6" ht="15" customHeight="1">
      <c r="A7" s="595" t="s">
        <v>111</v>
      </c>
      <c r="B7" s="596"/>
      <c r="C7" s="171">
        <f>61069*12</f>
        <v>732828</v>
      </c>
      <c r="D7" s="234">
        <f>C7/822312*100</f>
        <v>89.11799900767592</v>
      </c>
      <c r="E7" s="144">
        <v>121515.2</v>
      </c>
      <c r="F7" s="308">
        <f>E7/136374*100</f>
        <v>89.10437473418686</v>
      </c>
    </row>
    <row r="8" spans="1:6" ht="24.95" customHeight="1">
      <c r="A8" s="633" t="s">
        <v>104</v>
      </c>
      <c r="B8" s="672"/>
      <c r="C8" s="172"/>
      <c r="D8" s="234"/>
      <c r="E8" s="62"/>
      <c r="F8" s="218"/>
    </row>
    <row r="9" spans="1:6" ht="15" customHeight="1">
      <c r="A9" s="602" t="s">
        <v>112</v>
      </c>
      <c r="B9" s="603"/>
      <c r="C9" s="171">
        <f>18854*12</f>
        <v>226248</v>
      </c>
      <c r="D9" s="234">
        <f>C9/259812*100</f>
        <v>87.08142810955614</v>
      </c>
      <c r="E9" s="144">
        <v>47240</v>
      </c>
      <c r="F9" s="308">
        <f>E9/54046*100</f>
        <v>87.40702364652333</v>
      </c>
    </row>
    <row r="10" spans="1:6" ht="15" customHeight="1">
      <c r="A10" s="669" t="s">
        <v>105</v>
      </c>
      <c r="B10" s="670" t="s">
        <v>105</v>
      </c>
      <c r="C10" s="172"/>
      <c r="D10" s="234"/>
      <c r="E10" s="62"/>
      <c r="F10" s="218"/>
    </row>
    <row r="11" spans="1:6" ht="24.95" customHeight="1">
      <c r="A11" s="667" t="s">
        <v>329</v>
      </c>
      <c r="B11" s="668" t="s">
        <v>110</v>
      </c>
      <c r="C11" s="171"/>
      <c r="D11" s="234"/>
      <c r="E11" s="144"/>
      <c r="F11" s="373"/>
    </row>
    <row r="12" spans="1:6" ht="12.95" customHeight="1">
      <c r="A12" s="602" t="s">
        <v>330</v>
      </c>
      <c r="B12" s="603"/>
      <c r="C12" s="171">
        <f>13767*12</f>
        <v>165204</v>
      </c>
      <c r="D12" s="234">
        <f>C12/191832*100</f>
        <v>86.11910421618917</v>
      </c>
      <c r="E12" s="144">
        <v>31478.1</v>
      </c>
      <c r="F12" s="308">
        <f>E12/36535*100</f>
        <v>86.15875188175721</v>
      </c>
    </row>
    <row r="13" spans="1:6" ht="24.95" customHeight="1">
      <c r="A13" s="669" t="s">
        <v>117</v>
      </c>
      <c r="B13" s="670" t="s">
        <v>106</v>
      </c>
      <c r="C13" s="172"/>
      <c r="D13" s="234"/>
      <c r="E13" s="62"/>
      <c r="F13" s="308"/>
    </row>
    <row r="14" spans="1:6" ht="24.75" customHeight="1">
      <c r="A14" s="667" t="s">
        <v>331</v>
      </c>
      <c r="B14" s="668" t="s">
        <v>110</v>
      </c>
      <c r="C14" s="171"/>
      <c r="D14" s="234"/>
      <c r="E14" s="144"/>
      <c r="F14" s="308"/>
    </row>
    <row r="15" spans="1:6" ht="15" customHeight="1">
      <c r="A15" s="602" t="s">
        <v>332</v>
      </c>
      <c r="B15" s="603"/>
      <c r="C15" s="171">
        <f>5297*12</f>
        <v>63564</v>
      </c>
      <c r="D15" s="234">
        <f>C15/72096*100</f>
        <v>88.16577896138482</v>
      </c>
      <c r="E15" s="144">
        <v>11350.7</v>
      </c>
      <c r="F15" s="308">
        <f>E15/12859*100</f>
        <v>88.27047204292714</v>
      </c>
    </row>
    <row r="16" spans="1:6" ht="24.95" customHeight="1">
      <c r="A16" s="669" t="s">
        <v>118</v>
      </c>
      <c r="B16" s="670" t="s">
        <v>107</v>
      </c>
      <c r="C16" s="172"/>
      <c r="D16" s="172"/>
      <c r="E16" s="62"/>
      <c r="F16" s="218"/>
    </row>
    <row r="17" spans="1:6" ht="24.95" customHeight="1">
      <c r="A17" s="667" t="s">
        <v>333</v>
      </c>
      <c r="B17" s="668" t="s">
        <v>110</v>
      </c>
      <c r="C17" s="172"/>
      <c r="D17" s="172"/>
      <c r="E17" s="62"/>
      <c r="F17" s="218"/>
    </row>
    <row r="18" spans="1:6" ht="15" customHeight="1">
      <c r="A18" s="602" t="s">
        <v>334</v>
      </c>
      <c r="B18" s="603"/>
      <c r="C18" s="172">
        <f>13*12</f>
        <v>156</v>
      </c>
      <c r="D18" s="174">
        <f>C18/168*100</f>
        <v>92.85714285714286</v>
      </c>
      <c r="E18" s="62">
        <v>108.8</v>
      </c>
      <c r="F18" s="374">
        <f>E18/112*100</f>
        <v>97.14285714285714</v>
      </c>
    </row>
    <row r="19" spans="1:6" ht="24.95" customHeight="1">
      <c r="A19" s="669" t="s">
        <v>119</v>
      </c>
      <c r="B19" s="670" t="s">
        <v>108</v>
      </c>
      <c r="C19" s="172"/>
      <c r="D19" s="172"/>
      <c r="E19" s="62"/>
      <c r="F19" s="218"/>
    </row>
    <row r="20" spans="1:6" ht="15" customHeight="1">
      <c r="A20" s="602" t="s">
        <v>116</v>
      </c>
      <c r="B20" s="603"/>
      <c r="C20" s="171">
        <f>49080*12</f>
        <v>588960</v>
      </c>
      <c r="D20" s="234">
        <f>C20/669120*100</f>
        <v>88.02008608321378</v>
      </c>
      <c r="E20" s="144">
        <v>18466.7</v>
      </c>
      <c r="F20" s="308">
        <f>E20/20904*100</f>
        <v>88.34050899349407</v>
      </c>
    </row>
    <row r="21" spans="1:6" ht="15" customHeight="1">
      <c r="A21" s="669" t="s">
        <v>113</v>
      </c>
      <c r="B21" s="670" t="s">
        <v>105</v>
      </c>
      <c r="C21" s="172"/>
      <c r="D21" s="48"/>
      <c r="E21" s="62"/>
      <c r="F21" s="56"/>
    </row>
    <row r="22" spans="1:6" ht="7.5" customHeight="1">
      <c r="A22" s="69"/>
      <c r="B22" s="69"/>
      <c r="C22" s="48"/>
      <c r="D22" s="48"/>
      <c r="E22" s="56"/>
      <c r="F22" s="56"/>
    </row>
    <row r="23" spans="1:6" ht="12.75" customHeight="1">
      <c r="A23" s="609" t="s">
        <v>114</v>
      </c>
      <c r="B23" s="609"/>
      <c r="C23" s="609"/>
      <c r="D23" s="609"/>
      <c r="E23" s="609"/>
      <c r="F23" s="609"/>
    </row>
    <row r="24" spans="1:6" ht="10.5" customHeight="1">
      <c r="A24" s="608" t="s">
        <v>115</v>
      </c>
      <c r="B24" s="608"/>
      <c r="C24" s="608"/>
      <c r="D24" s="608"/>
      <c r="E24" s="608"/>
      <c r="F24" s="608"/>
    </row>
    <row r="25" ht="43.5" customHeight="1">
      <c r="A25" s="113"/>
    </row>
    <row r="26" ht="43.5" customHeight="1">
      <c r="A26" s="113"/>
    </row>
    <row r="27" ht="15" customHeight="1">
      <c r="A27" s="113"/>
    </row>
  </sheetData>
  <mergeCells count="23">
    <mergeCell ref="A13:B13"/>
    <mergeCell ref="A1:F1"/>
    <mergeCell ref="A2:F2"/>
    <mergeCell ref="A4:B5"/>
    <mergeCell ref="C4:D4"/>
    <mergeCell ref="E4:F4"/>
    <mergeCell ref="A6:B6"/>
    <mergeCell ref="A7:B7"/>
    <mergeCell ref="A8:B8"/>
    <mergeCell ref="A9:B9"/>
    <mergeCell ref="A10:B10"/>
    <mergeCell ref="A11:B11"/>
    <mergeCell ref="A12:B12"/>
    <mergeCell ref="A23:F23"/>
    <mergeCell ref="A24:F24"/>
    <mergeCell ref="A14:B14"/>
    <mergeCell ref="A16:B16"/>
    <mergeCell ref="A17:B17"/>
    <mergeCell ref="A19:B19"/>
    <mergeCell ref="A20:B20"/>
    <mergeCell ref="A21:B21"/>
    <mergeCell ref="A15:B15"/>
    <mergeCell ref="A18:B1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workbookViewId="0" topLeftCell="A22">
      <selection activeCell="E31" sqref="E31"/>
    </sheetView>
  </sheetViews>
  <sheetFormatPr defaultColWidth="9.140625" defaultRowHeight="15"/>
  <cols>
    <col min="1" max="1" width="17.140625" style="46" customWidth="1"/>
    <col min="2" max="2" width="10.8515625" style="46" customWidth="1"/>
    <col min="3" max="6" width="14.7109375" style="46" customWidth="1"/>
    <col min="7" max="16384" width="9.140625" style="46" customWidth="1"/>
  </cols>
  <sheetData>
    <row r="1" spans="1:6" ht="15.95" customHeight="1">
      <c r="A1" s="586" t="s">
        <v>259</v>
      </c>
      <c r="B1" s="586"/>
      <c r="C1" s="586"/>
      <c r="D1" s="586"/>
      <c r="E1" s="586"/>
      <c r="F1" s="586"/>
    </row>
    <row r="2" spans="1:6" ht="15.95" customHeight="1">
      <c r="A2" s="586" t="s">
        <v>611</v>
      </c>
      <c r="B2" s="586"/>
      <c r="C2" s="586"/>
      <c r="D2" s="586"/>
      <c r="E2" s="586"/>
      <c r="F2" s="586"/>
    </row>
    <row r="3" spans="1:9" ht="15.95" customHeight="1">
      <c r="A3" s="594" t="s">
        <v>260</v>
      </c>
      <c r="B3" s="594"/>
      <c r="C3" s="594"/>
      <c r="D3" s="594"/>
      <c r="E3" s="594"/>
      <c r="F3" s="594"/>
      <c r="G3" s="47"/>
      <c r="H3" s="47"/>
      <c r="I3" s="47"/>
    </row>
    <row r="4" spans="1:9" ht="15.95" customHeight="1">
      <c r="A4" s="594" t="s">
        <v>612</v>
      </c>
      <c r="B4" s="594"/>
      <c r="C4" s="594"/>
      <c r="D4" s="594"/>
      <c r="E4" s="594"/>
      <c r="F4" s="594"/>
      <c r="G4" s="47"/>
      <c r="H4" s="47"/>
      <c r="I4" s="47"/>
    </row>
    <row r="5" spans="1:9" ht="9.95" customHeight="1">
      <c r="A5" s="73"/>
      <c r="B5" s="73"/>
      <c r="C5" s="73"/>
      <c r="D5" s="73"/>
      <c r="E5" s="73"/>
      <c r="F5" s="73"/>
      <c r="G5" s="47"/>
      <c r="H5" s="47"/>
      <c r="I5" s="47"/>
    </row>
    <row r="6" spans="1:6" ht="46.5" customHeight="1">
      <c r="A6" s="597" t="s">
        <v>602</v>
      </c>
      <c r="B6" s="592"/>
      <c r="C6" s="589" t="s">
        <v>613</v>
      </c>
      <c r="D6" s="590"/>
      <c r="E6" s="589" t="s">
        <v>614</v>
      </c>
      <c r="F6" s="591"/>
    </row>
    <row r="7" spans="1:6" ht="33.75" customHeight="1">
      <c r="A7" s="598"/>
      <c r="B7" s="593"/>
      <c r="C7" s="50" t="s">
        <v>605</v>
      </c>
      <c r="D7" s="50" t="s">
        <v>560</v>
      </c>
      <c r="E7" s="50" t="s">
        <v>605</v>
      </c>
      <c r="F7" s="51" t="s">
        <v>560</v>
      </c>
    </row>
    <row r="8" spans="1:6" ht="15">
      <c r="A8" s="600"/>
      <c r="B8" s="601"/>
      <c r="C8" s="55"/>
      <c r="D8" s="56"/>
      <c r="E8" s="55"/>
      <c r="F8" s="56"/>
    </row>
    <row r="9" spans="1:6" ht="15" customHeight="1">
      <c r="A9" s="57" t="s">
        <v>606</v>
      </c>
      <c r="B9" s="59"/>
      <c r="C9" s="74">
        <v>875676</v>
      </c>
      <c r="D9" s="60">
        <f>C9/933936*100</f>
        <v>93.76188518271059</v>
      </c>
      <c r="E9" s="58">
        <v>1251943</v>
      </c>
      <c r="F9" s="60">
        <f>E9/1259416*100</f>
        <v>99.40662973949831</v>
      </c>
    </row>
    <row r="10" spans="1:9" ht="15" customHeight="1">
      <c r="A10" s="61" t="s">
        <v>607</v>
      </c>
      <c r="B10" s="56"/>
      <c r="C10" s="62"/>
      <c r="D10" s="56"/>
      <c r="E10" s="62"/>
      <c r="F10" s="56"/>
      <c r="I10" s="63"/>
    </row>
    <row r="11" spans="1:9" ht="15" customHeight="1">
      <c r="A11" s="61"/>
      <c r="B11" s="56"/>
      <c r="C11" s="64"/>
      <c r="D11" s="65"/>
      <c r="E11" s="64"/>
      <c r="F11" s="65"/>
      <c r="I11" s="63"/>
    </row>
    <row r="12" spans="1:9" ht="15" customHeight="1">
      <c r="A12" s="75" t="s">
        <v>608</v>
      </c>
      <c r="B12" s="56"/>
      <c r="C12" s="58">
        <v>875563</v>
      </c>
      <c r="D12" s="60">
        <f>C12/933818*100</f>
        <v>93.76163235234274</v>
      </c>
      <c r="E12" s="58">
        <v>1251943</v>
      </c>
      <c r="F12" s="60">
        <f>E12/1259416*100</f>
        <v>99.40662973949831</v>
      </c>
      <c r="I12" s="63"/>
    </row>
    <row r="13" spans="1:9" ht="15" customHeight="1">
      <c r="A13" s="67" t="s">
        <v>615</v>
      </c>
      <c r="B13" s="56"/>
      <c r="C13" s="64"/>
      <c r="D13" s="65"/>
      <c r="E13" s="64"/>
      <c r="F13" s="65"/>
      <c r="I13" s="63"/>
    </row>
    <row r="14" spans="1:9" ht="15">
      <c r="A14" s="67"/>
      <c r="B14" s="56"/>
      <c r="C14" s="76"/>
      <c r="D14" s="76"/>
      <c r="E14" s="76"/>
      <c r="F14" s="76"/>
      <c r="I14" s="63"/>
    </row>
    <row r="15" spans="1:6" ht="15" customHeight="1">
      <c r="A15" s="595" t="s">
        <v>4</v>
      </c>
      <c r="B15" s="596"/>
      <c r="C15" s="77">
        <v>66713</v>
      </c>
      <c r="D15" s="78">
        <f>C15/71420*100</f>
        <v>93.4094091290955</v>
      </c>
      <c r="E15" s="77">
        <v>98245</v>
      </c>
      <c r="F15" s="71">
        <f>E15/98860*100</f>
        <v>99.37790815294356</v>
      </c>
    </row>
    <row r="16" spans="1:6" ht="15" customHeight="1">
      <c r="A16" s="595" t="s">
        <v>0</v>
      </c>
      <c r="B16" s="596" t="s">
        <v>0</v>
      </c>
      <c r="C16" s="77">
        <v>55337</v>
      </c>
      <c r="D16" s="78">
        <f>C16/58221*100</f>
        <v>95.04646089898834</v>
      </c>
      <c r="E16" s="77">
        <v>68245</v>
      </c>
      <c r="F16" s="71">
        <f>E16/69280*100</f>
        <v>98.5060623556582</v>
      </c>
    </row>
    <row r="17" spans="1:6" ht="15" customHeight="1">
      <c r="A17" s="595" t="s">
        <v>5</v>
      </c>
      <c r="B17" s="596"/>
      <c r="C17" s="77">
        <v>54275</v>
      </c>
      <c r="D17" s="78">
        <f>C17/58575*100</f>
        <v>92.65898420827997</v>
      </c>
      <c r="E17" s="77">
        <v>54549</v>
      </c>
      <c r="F17" s="71">
        <f>E17/54806*100</f>
        <v>99.53107324015619</v>
      </c>
    </row>
    <row r="18" spans="1:6" ht="15" customHeight="1">
      <c r="A18" s="595" t="s">
        <v>6</v>
      </c>
      <c r="B18" s="596"/>
      <c r="C18" s="77">
        <v>30347</v>
      </c>
      <c r="D18" s="78">
        <f>C18/32081*100</f>
        <v>94.59493157943955</v>
      </c>
      <c r="E18" s="77">
        <v>30991</v>
      </c>
      <c r="F18" s="71">
        <f>E18/31336*100</f>
        <v>98.89902986979831</v>
      </c>
    </row>
    <row r="19" spans="1:6" ht="15" customHeight="1">
      <c r="A19" s="595" t="s">
        <v>7</v>
      </c>
      <c r="B19" s="596"/>
      <c r="C19" s="77">
        <v>51802</v>
      </c>
      <c r="D19" s="78">
        <f>C19/55423*100</f>
        <v>93.46661133464447</v>
      </c>
      <c r="E19" s="77">
        <v>79474</v>
      </c>
      <c r="F19" s="71">
        <f>E19/80238*100</f>
        <v>99.04783269772427</v>
      </c>
    </row>
    <row r="20" spans="1:6" ht="15" customHeight="1">
      <c r="A20" s="595" t="s">
        <v>8</v>
      </c>
      <c r="B20" s="596"/>
      <c r="C20" s="77">
        <v>75876</v>
      </c>
      <c r="D20" s="78">
        <f>C20/81720*100</f>
        <v>92.84875183553598</v>
      </c>
      <c r="E20" s="77">
        <v>107545</v>
      </c>
      <c r="F20" s="71">
        <f>E20/108187*100</f>
        <v>99.40658304602216</v>
      </c>
    </row>
    <row r="21" spans="1:6" ht="15" customHeight="1">
      <c r="A21" s="595" t="s">
        <v>9</v>
      </c>
      <c r="B21" s="596"/>
      <c r="C21" s="77">
        <v>91771</v>
      </c>
      <c r="D21" s="78">
        <f>C21/97271*100</f>
        <v>94.34569398895867</v>
      </c>
      <c r="E21" s="77">
        <v>141139</v>
      </c>
      <c r="F21" s="71">
        <f>E21/142042*100</f>
        <v>99.36427253910816</v>
      </c>
    </row>
    <row r="22" spans="1:6" ht="15" customHeight="1">
      <c r="A22" s="595" t="s">
        <v>10</v>
      </c>
      <c r="B22" s="596"/>
      <c r="C22" s="77">
        <v>13339</v>
      </c>
      <c r="D22" s="78">
        <f>C22/14502*100</f>
        <v>91.98041649427665</v>
      </c>
      <c r="E22" s="77">
        <v>32386</v>
      </c>
      <c r="F22" s="71">
        <f>E22/33063*100</f>
        <v>97.9523939146478</v>
      </c>
    </row>
    <row r="23" spans="1:6" ht="15" customHeight="1">
      <c r="A23" s="595" t="s">
        <v>11</v>
      </c>
      <c r="B23" s="596"/>
      <c r="C23" s="77">
        <v>50002</v>
      </c>
      <c r="D23" s="78">
        <f>C23/50963*100</f>
        <v>98.11431823087338</v>
      </c>
      <c r="E23" s="77">
        <v>64458</v>
      </c>
      <c r="F23" s="71">
        <f>E23/64702*100</f>
        <v>99.62288646409694</v>
      </c>
    </row>
    <row r="24" spans="1:6" ht="15" customHeight="1">
      <c r="A24" s="595" t="s">
        <v>12</v>
      </c>
      <c r="B24" s="596"/>
      <c r="C24" s="77">
        <v>19053</v>
      </c>
      <c r="D24" s="78">
        <f>C24/19984*100</f>
        <v>95.34127301841473</v>
      </c>
      <c r="E24" s="77">
        <v>25573</v>
      </c>
      <c r="F24" s="71">
        <f>E24/25729*100</f>
        <v>99.3936802829492</v>
      </c>
    </row>
    <row r="25" spans="1:6" ht="15" customHeight="1">
      <c r="A25" s="595" t="s">
        <v>13</v>
      </c>
      <c r="B25" s="596"/>
      <c r="C25" s="77">
        <v>47516</v>
      </c>
      <c r="D25" s="78">
        <f>C25/50963*100</f>
        <v>93.23626945038558</v>
      </c>
      <c r="E25" s="77">
        <v>73826</v>
      </c>
      <c r="F25" s="71">
        <f>E25/74301*100</f>
        <v>99.36070846960337</v>
      </c>
    </row>
    <row r="26" spans="1:6" ht="15" customHeight="1">
      <c r="A26" s="595" t="s">
        <v>14</v>
      </c>
      <c r="B26" s="596"/>
      <c r="C26" s="77">
        <v>123654</v>
      </c>
      <c r="D26" s="78">
        <f>C26/130556*100</f>
        <v>94.71337969913294</v>
      </c>
      <c r="E26" s="77">
        <v>220042</v>
      </c>
      <c r="F26" s="71">
        <f>E26/220864*100</f>
        <v>99.62782526803825</v>
      </c>
    </row>
    <row r="27" spans="1:6" ht="15" customHeight="1">
      <c r="A27" s="595" t="s">
        <v>15</v>
      </c>
      <c r="B27" s="596"/>
      <c r="C27" s="77">
        <v>25823</v>
      </c>
      <c r="D27" s="78">
        <f>C27/27418*100</f>
        <v>94.18265373112554</v>
      </c>
      <c r="E27" s="77">
        <v>42585</v>
      </c>
      <c r="F27" s="71">
        <f>E27/42889*100</f>
        <v>99.29119354613071</v>
      </c>
    </row>
    <row r="28" spans="1:6" ht="15" customHeight="1">
      <c r="A28" s="595" t="s">
        <v>1</v>
      </c>
      <c r="B28" s="596"/>
      <c r="C28" s="77">
        <v>36200</v>
      </c>
      <c r="D28" s="78">
        <f>C28/39282*100</f>
        <v>92.15416730309047</v>
      </c>
      <c r="E28" s="77">
        <v>42428</v>
      </c>
      <c r="F28" s="71">
        <f>E28/42686*100</f>
        <v>99.39558637492387</v>
      </c>
    </row>
    <row r="29" spans="1:6" ht="15" customHeight="1">
      <c r="A29" s="595" t="s">
        <v>2</v>
      </c>
      <c r="B29" s="596"/>
      <c r="C29" s="77">
        <v>94803</v>
      </c>
      <c r="D29" s="78">
        <f>C29/100628*100</f>
        <v>94.21135270501252</v>
      </c>
      <c r="E29" s="77">
        <v>115451</v>
      </c>
      <c r="F29" s="71">
        <f>E29/115866*100</f>
        <v>99.64182762846737</v>
      </c>
    </row>
    <row r="30" spans="1:6" ht="15" customHeight="1">
      <c r="A30" s="595" t="s">
        <v>3</v>
      </c>
      <c r="B30" s="596"/>
      <c r="C30" s="77">
        <v>39052</v>
      </c>
      <c r="D30" s="78">
        <f>C30/41920*100</f>
        <v>93.15839694656488</v>
      </c>
      <c r="E30" s="77">
        <v>54406</v>
      </c>
      <c r="F30" s="71">
        <f>E30/54567*100</f>
        <v>99.70494987813147</v>
      </c>
    </row>
    <row r="31" spans="1:6" ht="9" customHeight="1">
      <c r="A31" s="69"/>
      <c r="B31" s="69"/>
      <c r="C31" s="48"/>
      <c r="D31" s="48"/>
      <c r="E31" s="56"/>
      <c r="F31" s="56"/>
    </row>
    <row r="32" spans="1:6" ht="56.25" customHeight="1">
      <c r="A32" s="599" t="s">
        <v>50</v>
      </c>
      <c r="B32" s="599"/>
      <c r="C32" s="599"/>
      <c r="D32" s="599"/>
      <c r="E32" s="599"/>
      <c r="F32" s="599"/>
    </row>
    <row r="33" spans="1:6" ht="50.25" customHeight="1">
      <c r="A33" s="587" t="s">
        <v>51</v>
      </c>
      <c r="B33" s="587"/>
      <c r="C33" s="587"/>
      <c r="D33" s="587"/>
      <c r="E33" s="587"/>
      <c r="F33" s="587"/>
    </row>
  </sheetData>
  <mergeCells count="26">
    <mergeCell ref="A25:B25"/>
    <mergeCell ref="A8:B8"/>
    <mergeCell ref="A15:B15"/>
    <mergeCell ref="A16:B16"/>
    <mergeCell ref="A17:B17"/>
    <mergeCell ref="A18:B18"/>
    <mergeCell ref="A24:B24"/>
    <mergeCell ref="A20:B20"/>
    <mergeCell ref="A21:B21"/>
    <mergeCell ref="A22:B22"/>
    <mergeCell ref="A23:B23"/>
    <mergeCell ref="A33:F33"/>
    <mergeCell ref="A26:B26"/>
    <mergeCell ref="A27:B27"/>
    <mergeCell ref="A28:B28"/>
    <mergeCell ref="A29:B29"/>
    <mergeCell ref="A30:B30"/>
    <mergeCell ref="A32:F32"/>
    <mergeCell ref="A1:F1"/>
    <mergeCell ref="A3:F3"/>
    <mergeCell ref="A2:F2"/>
    <mergeCell ref="A4:F4"/>
    <mergeCell ref="A19:B19"/>
    <mergeCell ref="C6:D6"/>
    <mergeCell ref="E6:F6"/>
    <mergeCell ref="A6:B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&amp;L38</oddFooter>
  </headerFooter>
  <ignoredErrors>
    <ignoredError sqref="D24"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Layout" workbookViewId="0" topLeftCell="A16">
      <selection activeCell="E31" sqref="E31"/>
    </sheetView>
  </sheetViews>
  <sheetFormatPr defaultColWidth="9.140625" defaultRowHeight="15"/>
  <cols>
    <col min="1" max="1" width="57.7109375" style="46" customWidth="1"/>
    <col min="2" max="2" width="14.7109375" style="48" customWidth="1"/>
    <col min="3" max="3" width="14.7109375" style="46" customWidth="1"/>
    <col min="4" max="16384" width="9.140625" style="46" customWidth="1"/>
  </cols>
  <sheetData>
    <row r="1" spans="1:3" ht="27.95" customHeight="1">
      <c r="A1" s="584" t="s">
        <v>786</v>
      </c>
      <c r="B1" s="584"/>
      <c r="C1" s="584"/>
    </row>
    <row r="2" spans="1:4" ht="27.95" customHeight="1">
      <c r="A2" s="579" t="s">
        <v>588</v>
      </c>
      <c r="B2" s="579"/>
      <c r="C2" s="579"/>
      <c r="D2" s="47"/>
    </row>
    <row r="3" spans="1:4" ht="9.95" customHeight="1">
      <c r="A3" s="181"/>
      <c r="B3" s="181"/>
      <c r="C3" s="181"/>
      <c r="D3" s="47"/>
    </row>
    <row r="4" spans="1:3" ht="84.95" customHeight="1">
      <c r="A4" s="375" t="s">
        <v>602</v>
      </c>
      <c r="B4" s="50" t="s">
        <v>778</v>
      </c>
      <c r="C4" s="51" t="s">
        <v>779</v>
      </c>
    </row>
    <row r="5" spans="1:3" ht="5.1" customHeight="1">
      <c r="A5" s="1"/>
      <c r="B5" s="376"/>
      <c r="C5" s="376"/>
    </row>
    <row r="6" spans="1:4" ht="12" customHeight="1">
      <c r="A6" s="164" t="s">
        <v>780</v>
      </c>
      <c r="B6" s="84">
        <v>149173.7</v>
      </c>
      <c r="C6" s="346">
        <v>2253.57</v>
      </c>
      <c r="D6" s="63"/>
    </row>
    <row r="7" spans="1:4" ht="12" customHeight="1">
      <c r="A7" s="160" t="s">
        <v>335</v>
      </c>
      <c r="B7" s="184">
        <v>248.6</v>
      </c>
      <c r="C7" s="561">
        <v>196.4</v>
      </c>
      <c r="D7" s="63"/>
    </row>
    <row r="8" spans="1:4" ht="12" customHeight="1">
      <c r="A8" s="156" t="s">
        <v>120</v>
      </c>
      <c r="B8" s="76"/>
      <c r="C8" s="166"/>
      <c r="D8" s="63"/>
    </row>
    <row r="9" spans="1:4" ht="12" customHeight="1">
      <c r="A9" s="160" t="s">
        <v>340</v>
      </c>
      <c r="B9" s="90">
        <v>136986.6</v>
      </c>
      <c r="C9" s="345">
        <v>2182.45</v>
      </c>
      <c r="D9" s="63"/>
    </row>
    <row r="10" spans="1:3" ht="12" customHeight="1">
      <c r="A10" s="158" t="s">
        <v>643</v>
      </c>
      <c r="B10" s="166"/>
      <c r="C10" s="166"/>
    </row>
    <row r="11" spans="1:3" ht="12.4" customHeight="1">
      <c r="A11" s="161" t="s">
        <v>781</v>
      </c>
      <c r="B11" s="94">
        <v>2230.37</v>
      </c>
      <c r="C11" s="345">
        <v>2009.2</v>
      </c>
    </row>
    <row r="12" spans="1:3" ht="12.4" customHeight="1">
      <c r="A12" s="162" t="s">
        <v>782</v>
      </c>
      <c r="B12" s="166"/>
      <c r="C12" s="166"/>
    </row>
    <row r="13" spans="1:3" ht="12.4" customHeight="1">
      <c r="A13" s="160" t="s">
        <v>336</v>
      </c>
      <c r="B13" s="94">
        <v>10376</v>
      </c>
      <c r="C13" s="345">
        <v>4215.82</v>
      </c>
    </row>
    <row r="14" spans="1:3" ht="12.4" customHeight="1">
      <c r="A14" s="162" t="s">
        <v>54</v>
      </c>
      <c r="B14" s="166"/>
      <c r="C14" s="166"/>
    </row>
    <row r="15" spans="1:3" ht="12.4" customHeight="1">
      <c r="A15" s="160" t="s">
        <v>337</v>
      </c>
      <c r="B15" s="94">
        <v>7226.76</v>
      </c>
      <c r="C15" s="345">
        <v>2402.73</v>
      </c>
    </row>
    <row r="16" spans="1:3" ht="12.4" customHeight="1">
      <c r="A16" s="162" t="s">
        <v>55</v>
      </c>
      <c r="B16" s="166"/>
      <c r="C16" s="166"/>
    </row>
    <row r="17" spans="1:3" ht="12.4" customHeight="1">
      <c r="A17" s="160" t="s">
        <v>338</v>
      </c>
      <c r="B17" s="94">
        <v>1447.41</v>
      </c>
      <c r="C17" s="345">
        <v>1777.87</v>
      </c>
    </row>
    <row r="18" spans="1:3" ht="12.4" customHeight="1">
      <c r="A18" s="162" t="s">
        <v>56</v>
      </c>
      <c r="B18" s="166"/>
      <c r="C18" s="166"/>
    </row>
    <row r="19" spans="1:3" ht="12.4" customHeight="1">
      <c r="A19" s="160" t="s">
        <v>339</v>
      </c>
      <c r="B19" s="166">
        <v>2.6</v>
      </c>
      <c r="C19" s="345">
        <v>1129.72</v>
      </c>
    </row>
    <row r="20" spans="1:3" ht="12.4" customHeight="1">
      <c r="A20" s="162" t="s">
        <v>57</v>
      </c>
      <c r="B20" s="166"/>
      <c r="C20" s="166"/>
    </row>
    <row r="21" spans="1:3" ht="12.4" customHeight="1">
      <c r="A21" s="164" t="s">
        <v>783</v>
      </c>
      <c r="B21" s="95">
        <v>18606.3</v>
      </c>
      <c r="C21" s="346">
        <v>1710.38</v>
      </c>
    </row>
    <row r="22" spans="1:3" ht="12.4" customHeight="1">
      <c r="A22" s="160" t="s">
        <v>340</v>
      </c>
      <c r="B22" s="94">
        <v>17449.57</v>
      </c>
      <c r="C22" s="345">
        <v>1665.34</v>
      </c>
    </row>
    <row r="23" spans="1:3" ht="12.4" customHeight="1">
      <c r="A23" s="158" t="s">
        <v>643</v>
      </c>
      <c r="B23" s="166"/>
      <c r="C23" s="166"/>
    </row>
    <row r="24" spans="1:3" ht="12.4" customHeight="1">
      <c r="A24" s="161" t="s">
        <v>781</v>
      </c>
      <c r="B24" s="166">
        <v>263.8</v>
      </c>
      <c r="C24" s="345">
        <v>1705.22</v>
      </c>
    </row>
    <row r="25" spans="1:3" ht="12.4" customHeight="1">
      <c r="A25" s="162" t="s">
        <v>782</v>
      </c>
      <c r="B25" s="166"/>
      <c r="C25" s="166"/>
    </row>
    <row r="26" spans="1:3" ht="12.4" customHeight="1">
      <c r="A26" s="160" t="s">
        <v>336</v>
      </c>
      <c r="B26" s="94">
        <v>1235.38</v>
      </c>
      <c r="C26" s="345">
        <v>3943.57</v>
      </c>
    </row>
    <row r="27" spans="1:3" ht="12.4" customHeight="1">
      <c r="A27" s="162" t="s">
        <v>54</v>
      </c>
      <c r="B27" s="166"/>
      <c r="C27" s="166"/>
    </row>
    <row r="28" spans="1:3" ht="12.4" customHeight="1">
      <c r="A28" s="160" t="s">
        <v>337</v>
      </c>
      <c r="B28" s="94">
        <v>1099.07</v>
      </c>
      <c r="C28" s="345">
        <v>2902.83</v>
      </c>
    </row>
    <row r="29" spans="1:3" ht="12.4" customHeight="1">
      <c r="A29" s="162" t="s">
        <v>55</v>
      </c>
      <c r="B29" s="166"/>
      <c r="C29" s="166"/>
    </row>
    <row r="30" spans="1:3" ht="12.4" customHeight="1">
      <c r="A30" s="160" t="s">
        <v>338</v>
      </c>
      <c r="B30" s="166">
        <v>665.8</v>
      </c>
      <c r="C30" s="345">
        <v>1266.45</v>
      </c>
    </row>
    <row r="31" spans="1:3" ht="12.4" customHeight="1">
      <c r="A31" s="162" t="s">
        <v>56</v>
      </c>
      <c r="B31" s="166"/>
      <c r="C31" s="166"/>
    </row>
    <row r="32" spans="1:3" ht="12.4" customHeight="1">
      <c r="A32" s="160" t="s">
        <v>341</v>
      </c>
      <c r="B32" s="94">
        <v>1149.02</v>
      </c>
      <c r="C32" s="345">
        <v>3016.69</v>
      </c>
    </row>
    <row r="33" spans="1:3" ht="12.4" customHeight="1">
      <c r="A33" s="162" t="s">
        <v>58</v>
      </c>
      <c r="B33" s="166"/>
      <c r="C33" s="166"/>
    </row>
    <row r="34" spans="1:3" ht="12.4" customHeight="1">
      <c r="A34" s="164" t="s">
        <v>784</v>
      </c>
      <c r="B34" s="95">
        <f>B35+2803.250582</f>
        <v>31310.540582</v>
      </c>
      <c r="C34" s="346">
        <v>1951.33</v>
      </c>
    </row>
    <row r="35" spans="1:3" ht="12.4" customHeight="1">
      <c r="A35" s="160" t="s">
        <v>340</v>
      </c>
      <c r="B35" s="94">
        <v>28507.29</v>
      </c>
      <c r="C35" s="345">
        <v>1897.54</v>
      </c>
    </row>
    <row r="36" spans="1:3" ht="12.4" customHeight="1">
      <c r="A36" s="158" t="s">
        <v>643</v>
      </c>
      <c r="B36" s="166"/>
      <c r="C36" s="166"/>
    </row>
    <row r="37" spans="1:3" ht="12.4" customHeight="1">
      <c r="A37" s="161" t="s">
        <v>785</v>
      </c>
      <c r="B37" s="94">
        <v>1285.58</v>
      </c>
      <c r="C37" s="345">
        <v>1743.09</v>
      </c>
    </row>
    <row r="38" spans="1:3" ht="12.4" customHeight="1">
      <c r="A38" s="162" t="s">
        <v>782</v>
      </c>
      <c r="B38" s="166"/>
      <c r="C38" s="166"/>
    </row>
    <row r="39" spans="1:3" ht="12.4" customHeight="1">
      <c r="A39" s="160" t="s">
        <v>336</v>
      </c>
      <c r="B39" s="94">
        <v>3243.21</v>
      </c>
      <c r="C39" s="345">
        <v>3062.58</v>
      </c>
    </row>
    <row r="40" spans="1:3" ht="12.4" customHeight="1">
      <c r="A40" s="162" t="s">
        <v>54</v>
      </c>
      <c r="B40" s="166"/>
      <c r="C40" s="166"/>
    </row>
    <row r="41" spans="1:3" ht="12.4" customHeight="1">
      <c r="A41" s="160" t="s">
        <v>338</v>
      </c>
      <c r="B41" s="166">
        <v>579.5</v>
      </c>
      <c r="C41" s="345">
        <v>1449.09</v>
      </c>
    </row>
    <row r="42" spans="1:3" ht="12.4" customHeight="1">
      <c r="A42" s="162" t="s">
        <v>56</v>
      </c>
      <c r="B42" s="166"/>
      <c r="C42" s="166"/>
    </row>
    <row r="43" spans="1:3" ht="12.4" customHeight="1">
      <c r="A43" s="160" t="s">
        <v>342</v>
      </c>
      <c r="B43" s="167">
        <v>472</v>
      </c>
      <c r="C43" s="345">
        <v>1885.95</v>
      </c>
    </row>
    <row r="44" spans="1:3" ht="12.4" customHeight="1">
      <c r="A44" s="162" t="s">
        <v>58</v>
      </c>
      <c r="B44" s="166"/>
      <c r="C44" s="166"/>
    </row>
    <row r="45" spans="1:3" ht="5.1" customHeight="1">
      <c r="A45" s="162"/>
      <c r="C45" s="48"/>
    </row>
    <row r="46" spans="1:3" ht="56.25" customHeight="1">
      <c r="A46" s="599" t="s">
        <v>787</v>
      </c>
      <c r="B46" s="599"/>
      <c r="C46" s="599"/>
    </row>
    <row r="47" spans="1:3" ht="60" customHeight="1">
      <c r="A47" s="587" t="s">
        <v>121</v>
      </c>
      <c r="B47" s="587"/>
      <c r="C47" s="587"/>
    </row>
  </sheetData>
  <mergeCells count="4">
    <mergeCell ref="A1:C1"/>
    <mergeCell ref="A2:C2"/>
    <mergeCell ref="A46:C46"/>
    <mergeCell ref="A47:C4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&amp;L&amp;"Arial,Normalny"&amp;10 74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view="pageLayout" workbookViewId="0" topLeftCell="A4">
      <selection activeCell="E31" sqref="E31"/>
    </sheetView>
  </sheetViews>
  <sheetFormatPr defaultColWidth="9.140625" defaultRowHeight="15"/>
  <cols>
    <col min="1" max="1" width="19.421875" style="19" customWidth="1"/>
    <col min="2" max="7" width="6.7109375" style="19" customWidth="1"/>
    <col min="8" max="10" width="6.8515625" style="19" customWidth="1"/>
    <col min="11" max="11" width="7.00390625" style="19" customWidth="1"/>
    <col min="12" max="16384" width="9.140625" style="19" customWidth="1"/>
  </cols>
  <sheetData>
    <row r="1" spans="1:12" ht="39.95" customHeight="1">
      <c r="A1" s="675" t="s">
        <v>788</v>
      </c>
      <c r="B1" s="675"/>
      <c r="C1" s="675"/>
      <c r="D1" s="675"/>
      <c r="E1" s="675"/>
      <c r="F1" s="675"/>
      <c r="G1" s="675"/>
      <c r="H1" s="675"/>
      <c r="I1" s="675"/>
      <c r="J1" s="675"/>
      <c r="K1" s="675"/>
      <c r="L1" s="20"/>
    </row>
    <row r="2" spans="1:11" ht="39.95" customHeight="1">
      <c r="A2" s="676" t="s">
        <v>789</v>
      </c>
      <c r="B2" s="676"/>
      <c r="C2" s="676"/>
      <c r="D2" s="676"/>
      <c r="E2" s="676"/>
      <c r="F2" s="676"/>
      <c r="G2" s="676"/>
      <c r="H2" s="676"/>
      <c r="I2" s="676"/>
      <c r="J2" s="676"/>
      <c r="K2" s="676"/>
    </row>
    <row r="3" spans="1:11" ht="9.95" customHeight="1">
      <c r="A3" s="114"/>
      <c r="B3" s="114"/>
      <c r="C3" s="114"/>
      <c r="D3" s="114"/>
      <c r="E3" s="114"/>
      <c r="F3" s="114"/>
      <c r="G3" s="114"/>
      <c r="H3" s="114"/>
      <c r="I3" s="114"/>
      <c r="J3" s="114"/>
      <c r="K3" s="114"/>
    </row>
    <row r="4" spans="1:11" ht="33.75" customHeight="1">
      <c r="A4" s="377" t="s">
        <v>593</v>
      </c>
      <c r="B4" s="378">
        <v>2000</v>
      </c>
      <c r="C4" s="378">
        <v>2005</v>
      </c>
      <c r="D4" s="378">
        <v>2010</v>
      </c>
      <c r="E4" s="378">
        <v>2011</v>
      </c>
      <c r="F4" s="378">
        <v>2012</v>
      </c>
      <c r="G4" s="378">
        <v>2013</v>
      </c>
      <c r="H4" s="378">
        <v>2014</v>
      </c>
      <c r="I4" s="378">
        <v>2015</v>
      </c>
      <c r="J4" s="22">
        <v>2016</v>
      </c>
      <c r="K4" s="22">
        <v>2017</v>
      </c>
    </row>
    <row r="5" spans="1:11" ht="9.95" customHeight="1">
      <c r="A5" s="379"/>
      <c r="B5" s="23"/>
      <c r="C5" s="380"/>
      <c r="D5" s="381"/>
      <c r="E5" s="381"/>
      <c r="F5" s="381"/>
      <c r="G5" s="381"/>
      <c r="H5" s="382"/>
      <c r="I5" s="382"/>
      <c r="J5" s="23"/>
      <c r="K5" s="575"/>
    </row>
    <row r="6" spans="1:11" ht="45.75" customHeight="1">
      <c r="A6" s="383" t="s">
        <v>343</v>
      </c>
      <c r="B6" s="384"/>
      <c r="C6" s="385"/>
      <c r="D6" s="291"/>
      <c r="E6" s="291"/>
      <c r="F6" s="291"/>
      <c r="G6" s="291"/>
      <c r="H6" s="386"/>
      <c r="I6" s="387"/>
      <c r="J6" s="388"/>
      <c r="K6" s="389"/>
    </row>
    <row r="7" spans="1:11" ht="15" customHeight="1">
      <c r="A7" s="390" t="s">
        <v>344</v>
      </c>
      <c r="B7" s="384" t="s">
        <v>23</v>
      </c>
      <c r="C7" s="385" t="s">
        <v>24</v>
      </c>
      <c r="D7" s="291" t="s">
        <v>25</v>
      </c>
      <c r="E7" s="291" t="s">
        <v>26</v>
      </c>
      <c r="F7" s="291" t="s">
        <v>27</v>
      </c>
      <c r="G7" s="291" t="s">
        <v>28</v>
      </c>
      <c r="H7" s="386" t="s">
        <v>29</v>
      </c>
      <c r="I7" s="387">
        <v>2170.64</v>
      </c>
      <c r="J7" s="388">
        <v>2204.96</v>
      </c>
      <c r="K7" s="389">
        <v>2253.57</v>
      </c>
    </row>
    <row r="8" spans="1:11" ht="54" customHeight="1">
      <c r="A8" s="391" t="s">
        <v>21</v>
      </c>
      <c r="B8" s="392"/>
      <c r="C8" s="392"/>
      <c r="D8" s="392"/>
      <c r="E8" s="392"/>
      <c r="F8" s="392"/>
      <c r="G8" s="392"/>
      <c r="H8" s="392"/>
      <c r="I8" s="393"/>
      <c r="J8" s="394"/>
      <c r="K8" s="246"/>
    </row>
    <row r="9" spans="1:12" ht="15" customHeight="1">
      <c r="A9" s="390" t="s">
        <v>345</v>
      </c>
      <c r="B9" s="395">
        <v>63.7</v>
      </c>
      <c r="C9" s="396">
        <v>66.6</v>
      </c>
      <c r="D9" s="292">
        <v>62.2</v>
      </c>
      <c r="E9" s="292">
        <v>62</v>
      </c>
      <c r="F9" s="292">
        <v>62.9</v>
      </c>
      <c r="G9" s="292">
        <v>64</v>
      </c>
      <c r="H9" s="397">
        <v>64</v>
      </c>
      <c r="I9" s="397">
        <v>63.7</v>
      </c>
      <c r="J9" s="398">
        <v>62.3</v>
      </c>
      <c r="K9" s="395">
        <v>60.4</v>
      </c>
      <c r="L9" s="21"/>
    </row>
    <row r="10" spans="1:11" ht="15" customHeight="1">
      <c r="A10" s="399" t="s">
        <v>22</v>
      </c>
      <c r="B10" s="21"/>
      <c r="C10" s="400"/>
      <c r="D10" s="392"/>
      <c r="E10" s="392"/>
      <c r="F10" s="392"/>
      <c r="G10" s="392"/>
      <c r="H10" s="401"/>
      <c r="I10" s="401"/>
      <c r="J10" s="402"/>
      <c r="K10" s="21"/>
    </row>
    <row r="11" spans="1:11" ht="12.75" customHeight="1">
      <c r="A11" s="393"/>
      <c r="B11" s="21"/>
      <c r="C11" s="400"/>
      <c r="D11" s="392"/>
      <c r="E11" s="392"/>
      <c r="F11" s="392"/>
      <c r="G11" s="392"/>
      <c r="H11" s="401"/>
      <c r="I11" s="401"/>
      <c r="J11" s="402"/>
      <c r="K11" s="21"/>
    </row>
    <row r="12" spans="1:11" ht="27.75" customHeight="1">
      <c r="A12" s="599" t="s">
        <v>1005</v>
      </c>
      <c r="B12" s="599"/>
      <c r="C12" s="599"/>
      <c r="D12" s="599"/>
      <c r="E12" s="599"/>
      <c r="F12" s="599"/>
      <c r="G12" s="599"/>
      <c r="H12" s="599"/>
      <c r="I12" s="599"/>
      <c r="J12" s="599"/>
      <c r="K12" s="599"/>
    </row>
    <row r="13" spans="1:11" ht="24.75" customHeight="1">
      <c r="A13" s="587" t="s">
        <v>1006</v>
      </c>
      <c r="B13" s="587"/>
      <c r="C13" s="587"/>
      <c r="D13" s="587"/>
      <c r="E13" s="587"/>
      <c r="F13" s="587"/>
      <c r="G13" s="587"/>
      <c r="H13" s="587"/>
      <c r="I13" s="587"/>
      <c r="J13" s="587"/>
      <c r="K13" s="587"/>
    </row>
  </sheetData>
  <mergeCells count="4">
    <mergeCell ref="A1:K1"/>
    <mergeCell ref="A2:K2"/>
    <mergeCell ref="A12:K12"/>
    <mergeCell ref="A13:K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75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Layout" workbookViewId="0" topLeftCell="A22">
      <selection activeCell="E31" sqref="E31"/>
    </sheetView>
  </sheetViews>
  <sheetFormatPr defaultColWidth="9.140625" defaultRowHeight="15"/>
  <cols>
    <col min="1" max="1" width="9.7109375" style="4" customWidth="1"/>
    <col min="2" max="5" width="11.7109375" style="4" customWidth="1"/>
    <col min="6" max="7" width="14.7109375" style="4" customWidth="1"/>
    <col min="8" max="16384" width="9.140625" style="4" customWidth="1"/>
  </cols>
  <sheetData>
    <row r="1" spans="1:7" ht="27.95" customHeight="1">
      <c r="A1" s="584" t="s">
        <v>567</v>
      </c>
      <c r="B1" s="584"/>
      <c r="C1" s="584"/>
      <c r="D1" s="584"/>
      <c r="E1" s="584"/>
      <c r="F1" s="584"/>
      <c r="G1" s="584"/>
    </row>
    <row r="2" spans="1:7" ht="27.95" customHeight="1">
      <c r="A2" s="579" t="s">
        <v>566</v>
      </c>
      <c r="B2" s="579"/>
      <c r="C2" s="579"/>
      <c r="D2" s="579"/>
      <c r="E2" s="579"/>
      <c r="F2" s="579"/>
      <c r="G2" s="579"/>
    </row>
    <row r="3" spans="1:7" ht="9.95" customHeight="1">
      <c r="A3" s="97"/>
      <c r="B3" s="97"/>
      <c r="C3" s="97"/>
      <c r="D3" s="97"/>
      <c r="E3" s="97"/>
      <c r="F3" s="97"/>
      <c r="G3" s="97"/>
    </row>
    <row r="4" spans="1:7" ht="46.5" customHeight="1">
      <c r="A4" s="580" t="s">
        <v>122</v>
      </c>
      <c r="B4" s="639" t="s">
        <v>790</v>
      </c>
      <c r="C4" s="640"/>
      <c r="D4" s="639" t="s">
        <v>791</v>
      </c>
      <c r="E4" s="640"/>
      <c r="F4" s="677" t="s">
        <v>794</v>
      </c>
      <c r="G4" s="677" t="s">
        <v>795</v>
      </c>
    </row>
    <row r="5" spans="1:7" ht="120" customHeight="1">
      <c r="A5" s="643"/>
      <c r="B5" s="27" t="s">
        <v>792</v>
      </c>
      <c r="C5" s="27" t="s">
        <v>793</v>
      </c>
      <c r="D5" s="27" t="s">
        <v>792</v>
      </c>
      <c r="E5" s="27" t="s">
        <v>793</v>
      </c>
      <c r="F5" s="678"/>
      <c r="G5" s="678"/>
    </row>
    <row r="6" spans="1:7" ht="12" customHeight="1">
      <c r="A6" s="403"/>
      <c r="B6" s="295"/>
      <c r="C6" s="295"/>
      <c r="D6" s="295"/>
      <c r="E6" s="295"/>
      <c r="F6" s="295"/>
      <c r="G6" s="404"/>
    </row>
    <row r="7" spans="1:7" ht="20.1" customHeight="1">
      <c r="A7" s="405">
        <v>2000</v>
      </c>
      <c r="B7" s="406">
        <v>641.2</v>
      </c>
      <c r="C7" s="406">
        <v>1053.72</v>
      </c>
      <c r="D7" s="406">
        <v>308</v>
      </c>
      <c r="E7" s="406">
        <v>523.5</v>
      </c>
      <c r="F7" s="406">
        <v>1000.07</v>
      </c>
      <c r="G7" s="407">
        <v>696.35</v>
      </c>
    </row>
    <row r="8" spans="1:7" ht="20.1" customHeight="1">
      <c r="A8" s="408">
        <v>2005</v>
      </c>
      <c r="B8" s="406">
        <v>780.31</v>
      </c>
      <c r="C8" s="406">
        <v>1256.28</v>
      </c>
      <c r="D8" s="406">
        <v>382.3</v>
      </c>
      <c r="E8" s="406">
        <v>630.8</v>
      </c>
      <c r="F8" s="406">
        <v>1305.75</v>
      </c>
      <c r="G8" s="407">
        <v>883.8</v>
      </c>
    </row>
    <row r="9" spans="1:7" ht="20.1" customHeight="1">
      <c r="A9" s="408">
        <v>2006</v>
      </c>
      <c r="B9" s="406">
        <v>800.8</v>
      </c>
      <c r="C9" s="406">
        <v>1301.8</v>
      </c>
      <c r="D9" s="406">
        <v>351.58</v>
      </c>
      <c r="E9" s="406">
        <v>591.57</v>
      </c>
      <c r="F9" s="406">
        <v>1360.52</v>
      </c>
      <c r="G9" s="407">
        <v>943.89</v>
      </c>
    </row>
    <row r="10" spans="1:7" ht="20.1" customHeight="1">
      <c r="A10" s="408">
        <v>2007</v>
      </c>
      <c r="B10" s="406">
        <v>822.18</v>
      </c>
      <c r="C10" s="406">
        <v>1341.03</v>
      </c>
      <c r="D10" s="406">
        <v>364.66</v>
      </c>
      <c r="E10" s="406">
        <v>615.97</v>
      </c>
      <c r="F10" s="406">
        <v>1396.88</v>
      </c>
      <c r="G10" s="407">
        <v>999.05</v>
      </c>
    </row>
    <row r="11" spans="1:7" ht="20.1" customHeight="1">
      <c r="A11" s="408">
        <v>2008</v>
      </c>
      <c r="B11" s="406">
        <v>871.61</v>
      </c>
      <c r="C11" s="406">
        <v>1426.99</v>
      </c>
      <c r="D11" s="406">
        <v>389.51</v>
      </c>
      <c r="E11" s="406">
        <v>643.23</v>
      </c>
      <c r="F11" s="406">
        <v>1523.05</v>
      </c>
      <c r="G11" s="407">
        <v>1096.87</v>
      </c>
    </row>
    <row r="12" spans="1:7" ht="20.1" customHeight="1">
      <c r="A12" s="408">
        <v>2009</v>
      </c>
      <c r="B12" s="406">
        <v>907.09</v>
      </c>
      <c r="C12" s="406">
        <v>1487.58</v>
      </c>
      <c r="D12" s="406">
        <v>421.85</v>
      </c>
      <c r="E12" s="406">
        <v>698.02</v>
      </c>
      <c r="F12" s="406">
        <v>1651.21</v>
      </c>
      <c r="G12" s="407">
        <v>1180.65</v>
      </c>
    </row>
    <row r="13" spans="1:7" ht="20.1" customHeight="1">
      <c r="A13" s="408">
        <v>2010</v>
      </c>
      <c r="B13" s="406">
        <v>943.52</v>
      </c>
      <c r="C13" s="406">
        <v>1553.37</v>
      </c>
      <c r="D13" s="406">
        <v>447.54</v>
      </c>
      <c r="E13" s="406">
        <v>743.83</v>
      </c>
      <c r="F13" s="406">
        <v>1755.19</v>
      </c>
      <c r="G13" s="407">
        <v>1244.77</v>
      </c>
    </row>
    <row r="14" spans="1:7" ht="20.1" customHeight="1">
      <c r="A14" s="408">
        <v>2011</v>
      </c>
      <c r="B14" s="406">
        <v>984.37</v>
      </c>
      <c r="C14" s="406">
        <v>1623.64</v>
      </c>
      <c r="D14" s="406">
        <v>474.2</v>
      </c>
      <c r="E14" s="406">
        <v>789.08</v>
      </c>
      <c r="F14" s="406">
        <v>1844.66</v>
      </c>
      <c r="G14" s="407">
        <v>1297.96</v>
      </c>
    </row>
    <row r="15" spans="1:7" ht="20.1" customHeight="1">
      <c r="A15" s="408">
        <v>2012</v>
      </c>
      <c r="B15" s="406">
        <v>1043.09</v>
      </c>
      <c r="C15" s="406">
        <v>1720.37</v>
      </c>
      <c r="D15" s="406">
        <v>493.96</v>
      </c>
      <c r="E15" s="406">
        <v>820.77</v>
      </c>
      <c r="F15" s="406">
        <v>1938.09</v>
      </c>
      <c r="G15" s="407">
        <v>1371.62</v>
      </c>
    </row>
    <row r="16" spans="1:7" ht="20.1" customHeight="1">
      <c r="A16" s="408">
        <v>2013</v>
      </c>
      <c r="B16" s="406">
        <v>1062.45</v>
      </c>
      <c r="C16" s="406">
        <v>1769.24</v>
      </c>
      <c r="D16" s="406">
        <v>513.87</v>
      </c>
      <c r="E16" s="406">
        <v>855.72</v>
      </c>
      <c r="F16" s="406">
        <v>2041.68</v>
      </c>
      <c r="G16" s="407">
        <v>1415.23</v>
      </c>
    </row>
    <row r="17" spans="1:7" ht="20.1" customHeight="1">
      <c r="A17" s="408">
        <v>2014</v>
      </c>
      <c r="B17" s="406">
        <v>1070.65</v>
      </c>
      <c r="C17" s="406">
        <v>1778.44</v>
      </c>
      <c r="D17" s="406">
        <v>515.43</v>
      </c>
      <c r="E17" s="406">
        <v>856.32</v>
      </c>
      <c r="F17" s="406">
        <v>2117.35</v>
      </c>
      <c r="G17" s="407">
        <v>1458.12</v>
      </c>
    </row>
    <row r="18" spans="1:7" ht="20.1" customHeight="1">
      <c r="A18" s="29">
        <v>2015</v>
      </c>
      <c r="B18" s="406">
        <v>1080.2</v>
      </c>
      <c r="C18" s="406">
        <v>1792.54</v>
      </c>
      <c r="D18" s="406">
        <v>518</v>
      </c>
      <c r="E18" s="406">
        <v>860.06</v>
      </c>
      <c r="F18" s="406">
        <v>2170.64</v>
      </c>
      <c r="G18" s="407">
        <v>1509.5</v>
      </c>
    </row>
    <row r="19" spans="1:7" ht="20.1" customHeight="1">
      <c r="A19" s="29">
        <v>2016</v>
      </c>
      <c r="B19" s="406">
        <v>1094.92</v>
      </c>
      <c r="C19" s="406">
        <v>1817.78</v>
      </c>
      <c r="D19" s="406">
        <v>527.3</v>
      </c>
      <c r="E19" s="406">
        <v>879.1</v>
      </c>
      <c r="F19" s="406">
        <v>2204.96</v>
      </c>
      <c r="G19" s="407">
        <v>1568.96</v>
      </c>
    </row>
    <row r="20" spans="1:7" ht="20.1" customHeight="1">
      <c r="A20" s="29">
        <v>2017</v>
      </c>
      <c r="B20" s="406">
        <v>1124.47</v>
      </c>
      <c r="C20" s="406">
        <v>1864.73</v>
      </c>
      <c r="D20" s="406">
        <v>544.03</v>
      </c>
      <c r="E20" s="406">
        <v>906.82</v>
      </c>
      <c r="F20" s="406">
        <v>2253.57</v>
      </c>
      <c r="G20" s="407">
        <v>1630.12</v>
      </c>
    </row>
    <row r="21" spans="1:7" ht="9" customHeight="1">
      <c r="A21" s="29"/>
      <c r="B21" s="288"/>
      <c r="C21" s="288"/>
      <c r="D21" s="288"/>
      <c r="E21" s="288"/>
      <c r="F21" s="288"/>
      <c r="G21" s="289"/>
    </row>
    <row r="22" spans="1:7" ht="18" customHeight="1">
      <c r="A22" s="409" t="s">
        <v>123</v>
      </c>
      <c r="B22" s="79"/>
      <c r="C22" s="79"/>
      <c r="D22" s="79"/>
      <c r="E22" s="79"/>
      <c r="F22" s="79"/>
      <c r="G22" s="79"/>
    </row>
    <row r="23" spans="1:7" ht="18" customHeight="1">
      <c r="A23" s="290" t="s">
        <v>124</v>
      </c>
      <c r="B23" s="18"/>
      <c r="C23" s="18"/>
      <c r="D23" s="18"/>
      <c r="E23" s="18"/>
      <c r="F23" s="18"/>
      <c r="G23" s="18"/>
    </row>
    <row r="24" spans="1:7" ht="15" customHeight="1">
      <c r="A24" s="286"/>
      <c r="B24" s="288"/>
      <c r="C24" s="288"/>
      <c r="D24" s="288"/>
      <c r="E24" s="288"/>
      <c r="F24" s="288"/>
      <c r="G24" s="289"/>
    </row>
    <row r="25" spans="1:7" ht="15" customHeight="1">
      <c r="A25" s="257"/>
      <c r="B25" s="288"/>
      <c r="C25" s="288"/>
      <c r="D25" s="288"/>
      <c r="E25" s="288"/>
      <c r="F25" s="288"/>
      <c r="G25" s="289"/>
    </row>
    <row r="26" spans="1:7" ht="15" customHeight="1">
      <c r="A26" s="257"/>
      <c r="B26" s="288"/>
      <c r="C26" s="288"/>
      <c r="D26" s="288"/>
      <c r="E26" s="288"/>
      <c r="F26" s="288"/>
      <c r="G26" s="289"/>
    </row>
    <row r="27" spans="1:7" ht="15" customHeight="1">
      <c r="A27" s="257"/>
      <c r="B27" s="288"/>
      <c r="C27" s="288"/>
      <c r="D27" s="288"/>
      <c r="E27" s="288"/>
      <c r="F27" s="288"/>
      <c r="G27" s="289"/>
    </row>
    <row r="29" ht="15">
      <c r="A29" s="113"/>
    </row>
  </sheetData>
  <mergeCells count="7">
    <mergeCell ref="F4:F5"/>
    <mergeCell ref="G4:G5"/>
    <mergeCell ref="A1:G1"/>
    <mergeCell ref="A2:G2"/>
    <mergeCell ref="A4:A5"/>
    <mergeCell ref="B4:C4"/>
    <mergeCell ref="D4:E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&amp;L&amp;"Arial,Normalny"&amp;10 76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Layout" workbookViewId="0" topLeftCell="A28">
      <selection activeCell="E31" sqref="E31"/>
    </sheetView>
  </sheetViews>
  <sheetFormatPr defaultColWidth="9.140625" defaultRowHeight="15"/>
  <cols>
    <col min="1" max="1" width="34.7109375" style="96" customWidth="1"/>
    <col min="2" max="5" width="12.7109375" style="96" customWidth="1"/>
    <col min="6" max="16384" width="9.140625" style="96" customWidth="1"/>
  </cols>
  <sheetData>
    <row r="1" spans="1:5" ht="12.75" customHeight="1">
      <c r="A1" s="586" t="s">
        <v>553</v>
      </c>
      <c r="B1" s="586"/>
      <c r="C1" s="586"/>
      <c r="D1" s="586"/>
      <c r="E1" s="586"/>
    </row>
    <row r="2" spans="1:5" ht="12.95" customHeight="1">
      <c r="A2" s="681" t="s">
        <v>554</v>
      </c>
      <c r="B2" s="681"/>
      <c r="C2" s="681"/>
      <c r="D2" s="681"/>
      <c r="E2" s="681"/>
    </row>
    <row r="3" spans="1:5" ht="8.1" customHeight="1">
      <c r="A3" s="410"/>
      <c r="B3" s="410"/>
      <c r="C3" s="410"/>
      <c r="D3" s="410"/>
      <c r="E3" s="410"/>
    </row>
    <row r="4" spans="1:5" ht="27.95" customHeight="1">
      <c r="A4" s="584" t="s">
        <v>346</v>
      </c>
      <c r="B4" s="584"/>
      <c r="C4" s="584"/>
      <c r="D4" s="584"/>
      <c r="E4" s="584"/>
    </row>
    <row r="5" spans="1:5" ht="15.95" customHeight="1">
      <c r="A5" s="579" t="s">
        <v>347</v>
      </c>
      <c r="B5" s="579"/>
      <c r="C5" s="579"/>
      <c r="D5" s="579"/>
      <c r="E5" s="579"/>
    </row>
    <row r="6" spans="1:5" ht="9.95" customHeight="1">
      <c r="A6" s="97"/>
      <c r="B6" s="97"/>
      <c r="C6" s="97"/>
      <c r="D6" s="97"/>
      <c r="E6" s="97"/>
    </row>
    <row r="7" spans="1:5" ht="33.75" customHeight="1">
      <c r="A7" s="625" t="s">
        <v>602</v>
      </c>
      <c r="B7" s="639" t="s">
        <v>796</v>
      </c>
      <c r="C7" s="640"/>
      <c r="D7" s="640"/>
      <c r="E7" s="640"/>
    </row>
    <row r="8" spans="1:5" ht="75.75" customHeight="1">
      <c r="A8" s="627"/>
      <c r="B8" s="411" t="s">
        <v>797</v>
      </c>
      <c r="C8" s="411" t="s">
        <v>798</v>
      </c>
      <c r="D8" s="411" t="s">
        <v>799</v>
      </c>
      <c r="E8" s="412" t="s">
        <v>800</v>
      </c>
    </row>
    <row r="9" spans="1:5" ht="12.75" customHeight="1" hidden="1">
      <c r="A9" s="413"/>
      <c r="B9" s="238"/>
      <c r="C9" s="239"/>
      <c r="D9" s="239"/>
      <c r="E9" s="240"/>
    </row>
    <row r="10" spans="1:5" ht="12.75" customHeight="1">
      <c r="A10" s="414"/>
      <c r="B10" s="682" t="s">
        <v>801</v>
      </c>
      <c r="C10" s="683"/>
      <c r="D10" s="683"/>
      <c r="E10" s="683"/>
    </row>
    <row r="11" spans="1:5" s="418" customFormat="1" ht="12.95" customHeight="1">
      <c r="A11" s="415" t="s">
        <v>802</v>
      </c>
      <c r="B11" s="416">
        <v>1598.13</v>
      </c>
      <c r="C11" s="416">
        <v>1579.03</v>
      </c>
      <c r="D11" s="416">
        <v>1630.12</v>
      </c>
      <c r="E11" s="417">
        <v>1295.64</v>
      </c>
    </row>
    <row r="12" spans="1:5" s="418" customFormat="1" ht="12.95" customHeight="1">
      <c r="A12" s="305" t="s">
        <v>211</v>
      </c>
      <c r="B12" s="419"/>
      <c r="C12" s="419"/>
      <c r="D12" s="419"/>
      <c r="E12" s="420"/>
    </row>
    <row r="13" spans="1:5" s="418" customFormat="1" ht="12.95" customHeight="1">
      <c r="A13" s="421" t="s">
        <v>348</v>
      </c>
      <c r="B13" s="419">
        <v>1548.87</v>
      </c>
      <c r="C13" s="419">
        <v>1507.36</v>
      </c>
      <c r="D13" s="419">
        <v>1555.93</v>
      </c>
      <c r="E13" s="420">
        <v>1237.94</v>
      </c>
    </row>
    <row r="14" spans="1:5" s="418" customFormat="1" ht="12.95" customHeight="1">
      <c r="A14" s="422" t="s">
        <v>213</v>
      </c>
      <c r="B14" s="423"/>
      <c r="C14" s="423"/>
      <c r="D14" s="423"/>
      <c r="E14" s="424"/>
    </row>
    <row r="15" spans="1:5" ht="12.75" customHeight="1">
      <c r="A15" s="414"/>
      <c r="B15" s="679" t="s">
        <v>803</v>
      </c>
      <c r="C15" s="680"/>
      <c r="D15" s="680"/>
      <c r="E15" s="680"/>
    </row>
    <row r="16" spans="1:5" s="418" customFormat="1" ht="12.95" customHeight="1">
      <c r="A16" s="415" t="s">
        <v>802</v>
      </c>
      <c r="B16" s="425">
        <v>108.38012695312503</v>
      </c>
      <c r="C16" s="425">
        <v>105.35435487529858</v>
      </c>
      <c r="D16" s="425">
        <v>103.89812359779727</v>
      </c>
      <c r="E16" s="426">
        <v>111.26339653751032</v>
      </c>
    </row>
    <row r="17" spans="1:5" s="418" customFormat="1" ht="12.95" customHeight="1">
      <c r="A17" s="305" t="s">
        <v>211</v>
      </c>
      <c r="B17" s="423"/>
      <c r="C17" s="423"/>
      <c r="D17" s="423"/>
      <c r="E17" s="424"/>
    </row>
    <row r="18" spans="1:5" s="418" customFormat="1" ht="12.95" customHeight="1">
      <c r="A18" s="427" t="s">
        <v>212</v>
      </c>
      <c r="B18" s="428">
        <v>108.6</v>
      </c>
      <c r="C18" s="423">
        <v>105.8</v>
      </c>
      <c r="D18" s="429">
        <v>104.4</v>
      </c>
      <c r="E18" s="424">
        <v>111.3</v>
      </c>
    </row>
    <row r="19" spans="1:5" s="418" customFormat="1" ht="12.95" customHeight="1">
      <c r="A19" s="422" t="s">
        <v>213</v>
      </c>
      <c r="B19" s="423"/>
      <c r="C19" s="423"/>
      <c r="D19" s="423"/>
      <c r="E19" s="424"/>
    </row>
    <row r="20" spans="1:5" ht="12.75" customHeight="1">
      <c r="A20" s="414"/>
      <c r="B20" s="679" t="s">
        <v>804</v>
      </c>
      <c r="C20" s="680"/>
      <c r="D20" s="680"/>
      <c r="E20" s="680"/>
    </row>
    <row r="21" spans="1:5" s="418" customFormat="1" ht="12.95" customHeight="1">
      <c r="A21" s="415" t="s">
        <v>802</v>
      </c>
      <c r="B21" s="425">
        <v>106.25502642463238</v>
      </c>
      <c r="C21" s="425">
        <v>102.98568414007683</v>
      </c>
      <c r="D21" s="425">
        <v>101.56219315522705</v>
      </c>
      <c r="E21" s="426">
        <v>108.86829406801401</v>
      </c>
    </row>
    <row r="22" spans="1:5" s="418" customFormat="1" ht="12.95" customHeight="1">
      <c r="A22" s="305" t="s">
        <v>211</v>
      </c>
      <c r="B22" s="423"/>
      <c r="C22" s="423"/>
      <c r="D22" s="423"/>
      <c r="E22" s="424"/>
    </row>
    <row r="23" spans="1:5" s="418" customFormat="1" ht="12.95" customHeight="1">
      <c r="A23" s="427" t="s">
        <v>212</v>
      </c>
      <c r="B23" s="423">
        <v>106.5</v>
      </c>
      <c r="C23" s="423">
        <v>103.4</v>
      </c>
      <c r="D23" s="423">
        <v>102.1</v>
      </c>
      <c r="E23" s="424">
        <v>108.9</v>
      </c>
    </row>
    <row r="24" spans="1:5" s="418" customFormat="1" ht="12.95" customHeight="1">
      <c r="A24" s="422" t="s">
        <v>213</v>
      </c>
      <c r="B24" s="430"/>
      <c r="C24" s="430"/>
      <c r="D24" s="430"/>
      <c r="E24" s="431"/>
    </row>
    <row r="25" spans="1:5" ht="27" customHeight="1">
      <c r="A25" s="432"/>
      <c r="B25" s="679" t="s">
        <v>805</v>
      </c>
      <c r="C25" s="680"/>
      <c r="D25" s="680"/>
      <c r="E25" s="680"/>
    </row>
    <row r="26" spans="1:5" s="418" customFormat="1" ht="12.95" customHeight="1">
      <c r="A26" s="421" t="s">
        <v>349</v>
      </c>
      <c r="B26" s="428">
        <v>52.0570917259547</v>
      </c>
      <c r="C26" s="428">
        <v>8.76804113918038</v>
      </c>
      <c r="D26" s="428">
        <v>8.78217554535862</v>
      </c>
      <c r="E26" s="576">
        <v>8.67061838164922</v>
      </c>
    </row>
    <row r="27" spans="1:5" s="418" customFormat="1" ht="12.95" customHeight="1">
      <c r="A27" s="196" t="s">
        <v>214</v>
      </c>
      <c r="B27" s="428"/>
      <c r="C27" s="428"/>
      <c r="D27" s="428"/>
      <c r="E27" s="576"/>
    </row>
    <row r="28" spans="1:5" s="418" customFormat="1" ht="12.95" customHeight="1">
      <c r="A28" s="257" t="s">
        <v>350</v>
      </c>
      <c r="B28" s="428"/>
      <c r="C28" s="428"/>
      <c r="D28" s="428"/>
      <c r="E28" s="576"/>
    </row>
    <row r="29" spans="1:5" s="418" customFormat="1" ht="12.95" customHeight="1">
      <c r="A29" s="421" t="s">
        <v>351</v>
      </c>
      <c r="B29" s="428">
        <v>4.22055777690175</v>
      </c>
      <c r="C29" s="428">
        <v>0.27358568234929</v>
      </c>
      <c r="D29" s="428">
        <v>0.274826393148971</v>
      </c>
      <c r="E29" s="576">
        <v>0.263962211725479</v>
      </c>
    </row>
    <row r="30" spans="1:5" s="418" customFormat="1" ht="12.95" customHeight="1">
      <c r="A30" s="196" t="s">
        <v>215</v>
      </c>
      <c r="B30" s="428"/>
      <c r="C30" s="428"/>
      <c r="D30" s="428"/>
      <c r="E30" s="576"/>
    </row>
    <row r="31" spans="1:5" s="418" customFormat="1" ht="12.95" customHeight="1">
      <c r="A31" s="421" t="s">
        <v>352</v>
      </c>
      <c r="B31" s="428">
        <v>8.42109215145201</v>
      </c>
      <c r="C31" s="428">
        <v>1.04051221319418</v>
      </c>
      <c r="D31" s="428">
        <v>1.09562486197335</v>
      </c>
      <c r="E31" s="576">
        <v>0.656046432651045</v>
      </c>
    </row>
    <row r="32" spans="1:5" s="433" customFormat="1" ht="12.95" customHeight="1">
      <c r="A32" s="196" t="s">
        <v>216</v>
      </c>
      <c r="B32" s="428"/>
      <c r="C32" s="428"/>
      <c r="D32" s="428"/>
      <c r="E32" s="576"/>
    </row>
    <row r="33" spans="1:5" s="418" customFormat="1" ht="27.95" customHeight="1">
      <c r="A33" s="434" t="s">
        <v>353</v>
      </c>
      <c r="B33" s="428"/>
      <c r="C33" s="428"/>
      <c r="D33" s="428"/>
      <c r="E33" s="576"/>
    </row>
    <row r="34" spans="1:5" s="418" customFormat="1" ht="15.95" customHeight="1">
      <c r="A34" s="421" t="s">
        <v>354</v>
      </c>
      <c r="B34" s="428">
        <v>31.230876086426</v>
      </c>
      <c r="C34" s="428">
        <v>86.4271103145602</v>
      </c>
      <c r="D34" s="428">
        <v>86.7402399823326</v>
      </c>
      <c r="E34" s="576">
        <v>84.2402210490568</v>
      </c>
    </row>
    <row r="35" spans="1:5" s="418" customFormat="1" ht="24.95" customHeight="1">
      <c r="A35" s="196" t="s">
        <v>217</v>
      </c>
      <c r="B35" s="428"/>
      <c r="C35" s="428"/>
      <c r="D35" s="428"/>
      <c r="E35" s="576"/>
    </row>
    <row r="36" spans="1:5" ht="12.95" customHeight="1">
      <c r="A36" s="257" t="s">
        <v>806</v>
      </c>
      <c r="B36" s="428"/>
      <c r="C36" s="428"/>
      <c r="D36" s="428"/>
      <c r="E36" s="576"/>
    </row>
    <row r="37" spans="1:5" ht="12.95" customHeight="1">
      <c r="A37" s="421" t="s">
        <v>485</v>
      </c>
      <c r="B37" s="428">
        <v>19.5284488746222</v>
      </c>
      <c r="C37" s="428">
        <v>72.5021057231338</v>
      </c>
      <c r="D37" s="428">
        <v>82.2080583024563</v>
      </c>
      <c r="E37" s="576">
        <v>4.75749436571888</v>
      </c>
    </row>
    <row r="38" spans="1:5" ht="12.95" customHeight="1">
      <c r="A38" s="196" t="s">
        <v>486</v>
      </c>
      <c r="B38" s="428"/>
      <c r="C38" s="428"/>
      <c r="D38" s="428"/>
      <c r="E38" s="576"/>
    </row>
    <row r="39" spans="1:5" ht="12.95" customHeight="1">
      <c r="A39" s="421" t="s">
        <v>487</v>
      </c>
      <c r="B39" s="428">
        <v>1.84841032957269</v>
      </c>
      <c r="C39" s="428">
        <v>4.542662267341343</v>
      </c>
      <c r="D39" s="428">
        <v>1.458788310063063</v>
      </c>
      <c r="E39" s="576">
        <v>26.067426136889875</v>
      </c>
    </row>
    <row r="40" spans="1:5" ht="12.95" customHeight="1">
      <c r="A40" s="196" t="s">
        <v>488</v>
      </c>
      <c r="B40" s="428"/>
      <c r="C40" s="428"/>
      <c r="D40" s="428"/>
      <c r="E40" s="576"/>
    </row>
    <row r="41" spans="1:5" ht="12.95" customHeight="1">
      <c r="A41" s="421" t="s">
        <v>489</v>
      </c>
      <c r="B41" s="428">
        <v>4.39513681615388</v>
      </c>
      <c r="C41" s="428">
        <v>1.0006143011849047</v>
      </c>
      <c r="D41" s="428">
        <v>0.8318406006919736</v>
      </c>
      <c r="E41" s="576">
        <v>2.176530517736408</v>
      </c>
    </row>
    <row r="42" spans="1:5" ht="12.95" customHeight="1">
      <c r="A42" s="435" t="s">
        <v>807</v>
      </c>
      <c r="B42" s="428"/>
      <c r="C42" s="428"/>
      <c r="D42" s="428"/>
      <c r="E42" s="576"/>
    </row>
    <row r="43" spans="1:5" ht="12.95" customHeight="1">
      <c r="A43" s="421" t="s">
        <v>355</v>
      </c>
      <c r="B43" s="428">
        <v>0.145795398371847</v>
      </c>
      <c r="C43" s="428">
        <v>0.09246182783101017</v>
      </c>
      <c r="D43" s="428">
        <v>0.07422766422103894</v>
      </c>
      <c r="E43" s="576">
        <v>0.22305578710135532</v>
      </c>
    </row>
    <row r="44" spans="1:5" ht="12.95" customHeight="1">
      <c r="A44" s="196" t="s">
        <v>220</v>
      </c>
      <c r="B44" s="428"/>
      <c r="C44" s="428"/>
      <c r="D44" s="428"/>
      <c r="E44" s="576"/>
    </row>
    <row r="45" spans="1:5" ht="12.95" customHeight="1">
      <c r="A45" s="421" t="s">
        <v>218</v>
      </c>
      <c r="B45" s="428">
        <v>3.73373880723095</v>
      </c>
      <c r="C45" s="428">
        <v>3.181700157691748</v>
      </c>
      <c r="D45" s="428">
        <v>2.786297941255859</v>
      </c>
      <c r="E45" s="576">
        <v>5.940693402488345</v>
      </c>
    </row>
    <row r="46" spans="1:5" ht="12.95" customHeight="1">
      <c r="A46" s="196" t="s">
        <v>219</v>
      </c>
      <c r="B46" s="428"/>
      <c r="C46" s="428"/>
      <c r="D46" s="428"/>
      <c r="E46" s="576"/>
    </row>
    <row r="47" spans="1:5" ht="12.95" customHeight="1">
      <c r="A47" s="421" t="s">
        <v>356</v>
      </c>
      <c r="B47" s="428">
        <v>3.46592580077966</v>
      </c>
      <c r="C47" s="428">
        <v>3.084805228526374</v>
      </c>
      <c r="D47" s="428">
        <v>2.7040954040193363</v>
      </c>
      <c r="E47" s="576">
        <v>5.743879472693032</v>
      </c>
    </row>
    <row r="48" spans="1:5" ht="12.95" customHeight="1">
      <c r="A48" s="305" t="s">
        <v>221</v>
      </c>
      <c r="B48" s="436"/>
      <c r="C48" s="436"/>
      <c r="D48" s="436"/>
      <c r="E48" s="436"/>
    </row>
  </sheetData>
  <mergeCells count="10">
    <mergeCell ref="A1:E1"/>
    <mergeCell ref="A2:E2"/>
    <mergeCell ref="A7:A8"/>
    <mergeCell ref="B10:E10"/>
    <mergeCell ref="B15:E15"/>
    <mergeCell ref="B20:E20"/>
    <mergeCell ref="B25:E25"/>
    <mergeCell ref="A4:E4"/>
    <mergeCell ref="A5:E5"/>
    <mergeCell ref="B7:E7"/>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77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view="pageLayout" workbookViewId="0" topLeftCell="A19">
      <selection activeCell="E31" sqref="E31"/>
    </sheetView>
  </sheetViews>
  <sheetFormatPr defaultColWidth="9.140625" defaultRowHeight="15"/>
  <cols>
    <col min="1" max="1" width="38.28125" style="96" customWidth="1"/>
    <col min="2" max="5" width="12.28125" style="96" customWidth="1"/>
    <col min="6" max="10" width="6.28125" style="96" customWidth="1"/>
    <col min="11" max="16384" width="9.140625" style="96" customWidth="1"/>
  </cols>
  <sheetData>
    <row r="1" spans="1:5" ht="27.95" customHeight="1">
      <c r="A1" s="584" t="s">
        <v>366</v>
      </c>
      <c r="B1" s="584"/>
      <c r="C1" s="584"/>
      <c r="D1" s="584"/>
      <c r="E1" s="584"/>
    </row>
    <row r="2" spans="1:5" ht="27.95" customHeight="1">
      <c r="A2" s="579" t="s">
        <v>357</v>
      </c>
      <c r="B2" s="579"/>
      <c r="C2" s="579"/>
      <c r="D2" s="579"/>
      <c r="E2" s="579"/>
    </row>
    <row r="3" spans="1:5" ht="9.95" customHeight="1">
      <c r="A3" s="97"/>
      <c r="B3" s="97"/>
      <c r="C3" s="97"/>
      <c r="D3" s="97"/>
      <c r="E3" s="97"/>
    </row>
    <row r="4" spans="1:5" ht="23.1" customHeight="1">
      <c r="A4" s="625" t="s">
        <v>602</v>
      </c>
      <c r="B4" s="639" t="s">
        <v>796</v>
      </c>
      <c r="C4" s="640"/>
      <c r="D4" s="640"/>
      <c r="E4" s="640"/>
    </row>
    <row r="5" spans="1:5" ht="74.1" customHeight="1">
      <c r="A5" s="627"/>
      <c r="B5" s="411" t="s">
        <v>797</v>
      </c>
      <c r="C5" s="411" t="s">
        <v>798</v>
      </c>
      <c r="D5" s="411" t="s">
        <v>799</v>
      </c>
      <c r="E5" s="412" t="s">
        <v>800</v>
      </c>
    </row>
    <row r="6" spans="1:5" ht="12.75" customHeight="1" hidden="1">
      <c r="A6" s="413"/>
      <c r="B6" s="238"/>
      <c r="C6" s="239"/>
      <c r="D6" s="239"/>
      <c r="E6" s="240"/>
    </row>
    <row r="7" spans="1:5" ht="11.1" customHeight="1">
      <c r="A7" s="414"/>
      <c r="B7" s="682" t="s">
        <v>801</v>
      </c>
      <c r="C7" s="683"/>
      <c r="D7" s="683"/>
      <c r="E7" s="683"/>
    </row>
    <row r="8" spans="1:5" s="418" customFormat="1" ht="11.1" customHeight="1">
      <c r="A8" s="437" t="s">
        <v>808</v>
      </c>
      <c r="B8" s="440">
        <v>1176.44</v>
      </c>
      <c r="C8" s="440">
        <v>1271.01</v>
      </c>
      <c r="D8" s="440">
        <v>1296</v>
      </c>
      <c r="E8" s="441">
        <v>1132.36</v>
      </c>
    </row>
    <row r="9" spans="1:5" s="418" customFormat="1" ht="11.1" customHeight="1">
      <c r="A9" s="422" t="s">
        <v>809</v>
      </c>
      <c r="B9" s="423"/>
      <c r="C9" s="423"/>
      <c r="D9" s="423"/>
      <c r="E9" s="424"/>
    </row>
    <row r="10" spans="1:5" s="418" customFormat="1" ht="11.1" customHeight="1">
      <c r="A10" s="422"/>
      <c r="B10" s="679" t="s">
        <v>819</v>
      </c>
      <c r="C10" s="680"/>
      <c r="D10" s="680"/>
      <c r="E10" s="680"/>
    </row>
    <row r="11" spans="1:5" s="418" customFormat="1" ht="11.1" customHeight="1">
      <c r="A11" s="415" t="s">
        <v>358</v>
      </c>
      <c r="B11" s="442">
        <v>95.81279113256946</v>
      </c>
      <c r="C11" s="442">
        <v>94.36117733141359</v>
      </c>
      <c r="D11" s="442">
        <v>94.27546296296296</v>
      </c>
      <c r="E11" s="443">
        <v>94.90444734889965</v>
      </c>
    </row>
    <row r="12" spans="1:5" s="418" customFormat="1" ht="11.1" customHeight="1">
      <c r="A12" s="422" t="s">
        <v>197</v>
      </c>
      <c r="B12" s="423"/>
      <c r="C12" s="423"/>
      <c r="D12" s="423"/>
      <c r="E12" s="444"/>
    </row>
    <row r="13" spans="1:5" s="418" customFormat="1" ht="11.1" customHeight="1">
      <c r="A13" s="432" t="s">
        <v>208</v>
      </c>
      <c r="B13" s="423"/>
      <c r="C13" s="423"/>
      <c r="D13" s="423"/>
      <c r="E13" s="444"/>
    </row>
    <row r="14" spans="1:5" s="418" customFormat="1" ht="11.1" customHeight="1">
      <c r="A14" s="421" t="s">
        <v>359</v>
      </c>
      <c r="B14" s="445">
        <v>24.348033048859268</v>
      </c>
      <c r="C14" s="445">
        <v>26.897506707264302</v>
      </c>
      <c r="D14" s="445">
        <v>26.719135802469136</v>
      </c>
      <c r="E14" s="446">
        <v>28.030838249320013</v>
      </c>
    </row>
    <row r="15" spans="1:5" s="418" customFormat="1" ht="11.1" customHeight="1">
      <c r="A15" s="438" t="s">
        <v>201</v>
      </c>
      <c r="B15" s="423"/>
      <c r="C15" s="423"/>
      <c r="D15" s="423"/>
      <c r="E15" s="424"/>
    </row>
    <row r="16" spans="1:5" s="433" customFormat="1" ht="11.1" customHeight="1">
      <c r="A16" s="421" t="s">
        <v>360</v>
      </c>
      <c r="B16" s="445">
        <v>2.3894121247152422</v>
      </c>
      <c r="C16" s="445">
        <v>2.400453182901787</v>
      </c>
      <c r="D16" s="445">
        <v>2.373456790123457</v>
      </c>
      <c r="E16" s="446">
        <v>2.5698541100003536</v>
      </c>
    </row>
    <row r="17" spans="1:5" s="433" customFormat="1" ht="11.1" customHeight="1">
      <c r="A17" s="432" t="s">
        <v>810</v>
      </c>
      <c r="B17" s="447"/>
      <c r="C17" s="447"/>
      <c r="D17" s="447"/>
      <c r="E17" s="448"/>
    </row>
    <row r="18" spans="1:5" s="433" customFormat="1" ht="11.1" customHeight="1">
      <c r="A18" s="432" t="s">
        <v>811</v>
      </c>
      <c r="B18" s="445">
        <v>5.288837509775254</v>
      </c>
      <c r="C18" s="445">
        <v>3.2470240202673466</v>
      </c>
      <c r="D18" s="445">
        <v>3.2638888888888884</v>
      </c>
      <c r="E18" s="446">
        <v>3.1368116146808442</v>
      </c>
    </row>
    <row r="19" spans="1:5" s="418" customFormat="1" ht="11.1" customHeight="1">
      <c r="A19" s="421" t="s">
        <v>361</v>
      </c>
      <c r="B19" s="445">
        <v>19.543708136411546</v>
      </c>
      <c r="C19" s="445">
        <v>23.13514449138874</v>
      </c>
      <c r="D19" s="445">
        <v>22.814814814814817</v>
      </c>
      <c r="E19" s="446">
        <v>25.169557384577345</v>
      </c>
    </row>
    <row r="20" spans="1:5" s="418" customFormat="1" ht="11.1" customHeight="1">
      <c r="A20" s="300" t="s">
        <v>209</v>
      </c>
      <c r="B20" s="423"/>
      <c r="C20" s="423"/>
      <c r="D20" s="423"/>
      <c r="E20" s="424"/>
    </row>
    <row r="21" spans="1:5" s="418" customFormat="1" ht="11.1" customHeight="1">
      <c r="A21" s="298" t="s">
        <v>812</v>
      </c>
      <c r="B21" s="445">
        <v>10.666077318010268</v>
      </c>
      <c r="C21" s="445">
        <v>13.786673590294333</v>
      </c>
      <c r="D21" s="445">
        <v>13.585648148148147</v>
      </c>
      <c r="E21" s="446">
        <v>15.06146455190929</v>
      </c>
    </row>
    <row r="22" spans="1:5" s="418" customFormat="1" ht="11.1" customHeight="1">
      <c r="A22" s="257" t="s">
        <v>813</v>
      </c>
      <c r="B22" s="423"/>
      <c r="C22" s="423"/>
      <c r="D22" s="423"/>
      <c r="E22" s="424"/>
    </row>
    <row r="23" spans="1:5" s="451" customFormat="1" ht="11.1" customHeight="1">
      <c r="A23" s="287" t="s">
        <v>362</v>
      </c>
      <c r="B23" s="449"/>
      <c r="C23" s="449"/>
      <c r="D23" s="449"/>
      <c r="E23" s="450"/>
    </row>
    <row r="24" spans="1:5" s="451" customFormat="1" ht="11.1" customHeight="1">
      <c r="A24" s="421" t="s">
        <v>363</v>
      </c>
      <c r="B24" s="445">
        <v>5.233586073237904</v>
      </c>
      <c r="C24" s="445">
        <v>4.874863297692386</v>
      </c>
      <c r="D24" s="445">
        <v>4.932098765432099</v>
      </c>
      <c r="E24" s="446">
        <v>4.509166696103714</v>
      </c>
    </row>
    <row r="25" spans="1:5" s="433" customFormat="1" ht="20.1" customHeight="1">
      <c r="A25" s="196" t="s">
        <v>210</v>
      </c>
      <c r="B25" s="447"/>
      <c r="C25" s="447"/>
      <c r="D25" s="447"/>
      <c r="E25" s="448"/>
    </row>
    <row r="26" spans="1:5" s="418" customFormat="1" ht="11.1" customHeight="1">
      <c r="A26" s="421" t="s">
        <v>379</v>
      </c>
      <c r="B26" s="445">
        <v>5.5089932338240795</v>
      </c>
      <c r="C26" s="445">
        <v>8.54595951251367</v>
      </c>
      <c r="D26" s="445">
        <v>8.661265432098766</v>
      </c>
      <c r="E26" s="446">
        <v>7.814652583983893</v>
      </c>
    </row>
    <row r="27" spans="1:5" s="418" customFormat="1" ht="11.1" customHeight="1">
      <c r="A27" s="196" t="s">
        <v>380</v>
      </c>
      <c r="B27" s="423"/>
      <c r="C27" s="423"/>
      <c r="D27" s="423"/>
      <c r="E27" s="424"/>
    </row>
    <row r="28" spans="1:5" s="418" customFormat="1" ht="11.1" customHeight="1">
      <c r="A28" s="257" t="s">
        <v>814</v>
      </c>
      <c r="B28" s="423"/>
      <c r="C28" s="423"/>
      <c r="D28" s="423"/>
      <c r="E28" s="424"/>
    </row>
    <row r="29" spans="1:5" s="451" customFormat="1" ht="11.1" customHeight="1">
      <c r="A29" s="287" t="s">
        <v>364</v>
      </c>
      <c r="B29" s="452"/>
      <c r="C29" s="452"/>
      <c r="D29" s="452"/>
      <c r="E29" s="452"/>
    </row>
    <row r="30" spans="1:5" s="451" customFormat="1" ht="11.1" customHeight="1">
      <c r="A30" s="421" t="s">
        <v>365</v>
      </c>
      <c r="B30" s="445">
        <v>3.029478766447928</v>
      </c>
      <c r="C30" s="445">
        <v>5.502710442876137</v>
      </c>
      <c r="D30" s="445">
        <v>5.500771604938272</v>
      </c>
      <c r="E30" s="446">
        <v>5.514147444275673</v>
      </c>
    </row>
    <row r="31" spans="1:5" ht="11.1" customHeight="1">
      <c r="A31" s="196" t="s">
        <v>368</v>
      </c>
      <c r="B31" s="453"/>
      <c r="C31" s="453"/>
      <c r="D31" s="453"/>
      <c r="E31" s="453"/>
    </row>
    <row r="32" spans="1:5" s="451" customFormat="1" ht="11.1" customHeight="1">
      <c r="A32" s="287" t="s">
        <v>369</v>
      </c>
      <c r="B32" s="452"/>
      <c r="C32" s="452"/>
      <c r="D32" s="452"/>
      <c r="E32" s="452"/>
    </row>
    <row r="33" spans="1:5" s="451" customFormat="1" ht="11.1" customHeight="1">
      <c r="A33" s="421" t="s">
        <v>370</v>
      </c>
      <c r="B33" s="445">
        <v>1.8683485770630035</v>
      </c>
      <c r="C33" s="445">
        <v>1.9929032816421586</v>
      </c>
      <c r="D33" s="445">
        <v>2.044753086419753</v>
      </c>
      <c r="E33" s="446">
        <v>1.66289872478717</v>
      </c>
    </row>
    <row r="34" spans="1:5" ht="11.1" customHeight="1">
      <c r="A34" s="196" t="s">
        <v>202</v>
      </c>
      <c r="B34" s="453"/>
      <c r="C34" s="453"/>
      <c r="D34" s="453"/>
      <c r="E34" s="453"/>
    </row>
    <row r="35" spans="1:5" ht="11.1" customHeight="1">
      <c r="A35" s="421" t="s">
        <v>392</v>
      </c>
      <c r="B35" s="445">
        <v>8.671075447961647</v>
      </c>
      <c r="C35" s="445">
        <v>5.77886877365245</v>
      </c>
      <c r="D35" s="445">
        <v>6.049382716049383</v>
      </c>
      <c r="E35" s="446">
        <v>4.0596630046981526</v>
      </c>
    </row>
    <row r="36" spans="1:5" ht="11.1" customHeight="1">
      <c r="A36" s="196" t="s">
        <v>392</v>
      </c>
      <c r="B36" s="453"/>
      <c r="C36" s="453"/>
      <c r="D36" s="453"/>
      <c r="E36" s="453"/>
    </row>
    <row r="37" spans="1:5" ht="11.1" customHeight="1">
      <c r="A37" s="257" t="s">
        <v>815</v>
      </c>
      <c r="B37" s="445">
        <v>4.679371663663255</v>
      </c>
      <c r="C37" s="445">
        <v>4.280060739097253</v>
      </c>
      <c r="D37" s="445">
        <v>4.246141975308642</v>
      </c>
      <c r="E37" s="446">
        <v>4.4976862481896225</v>
      </c>
    </row>
    <row r="38" spans="1:5" ht="11.1" customHeight="1">
      <c r="A38" s="257" t="s">
        <v>816</v>
      </c>
      <c r="B38" s="445">
        <v>6.945530583795177</v>
      </c>
      <c r="C38" s="445">
        <v>5.239140526038348</v>
      </c>
      <c r="D38" s="445">
        <v>5.368055555555555</v>
      </c>
      <c r="E38" s="446">
        <v>4.419972446925007</v>
      </c>
    </row>
    <row r="39" spans="1:5" ht="11.1" customHeight="1">
      <c r="A39" s="439" t="s">
        <v>817</v>
      </c>
      <c r="B39" s="453"/>
      <c r="C39" s="453"/>
      <c r="D39" s="453"/>
      <c r="E39" s="453"/>
    </row>
    <row r="40" spans="1:5" ht="11.1" customHeight="1">
      <c r="A40" s="421" t="s">
        <v>377</v>
      </c>
      <c r="B40" s="445">
        <v>0.9630750399510387</v>
      </c>
      <c r="C40" s="445">
        <v>0.11486927718900716</v>
      </c>
      <c r="D40" s="445">
        <v>0.11265432098765432</v>
      </c>
      <c r="E40" s="446">
        <v>0.12805114981101418</v>
      </c>
    </row>
    <row r="41" spans="1:5" ht="11.1" customHeight="1">
      <c r="A41" s="196" t="s">
        <v>378</v>
      </c>
      <c r="B41" s="453"/>
      <c r="C41" s="453"/>
      <c r="D41" s="453"/>
      <c r="E41" s="453"/>
    </row>
    <row r="42" spans="1:5" ht="11.1" customHeight="1">
      <c r="A42" s="421" t="s">
        <v>371</v>
      </c>
      <c r="B42" s="445">
        <v>4.563768657985108</v>
      </c>
      <c r="C42" s="445">
        <v>3.03066065569901</v>
      </c>
      <c r="D42" s="445">
        <v>2.9251543209876543</v>
      </c>
      <c r="E42" s="446">
        <v>3.702886007983327</v>
      </c>
    </row>
    <row r="43" spans="1:5" ht="11.1" customHeight="1">
      <c r="A43" s="196" t="s">
        <v>198</v>
      </c>
      <c r="B43" s="453"/>
      <c r="C43" s="453"/>
      <c r="D43" s="453"/>
      <c r="E43" s="453"/>
    </row>
    <row r="44" spans="1:5" ht="11.1" customHeight="1">
      <c r="A44" s="298" t="s">
        <v>818</v>
      </c>
      <c r="B44" s="445">
        <v>6.088708306415966</v>
      </c>
      <c r="C44" s="445">
        <v>5.875642205804834</v>
      </c>
      <c r="D44" s="445">
        <v>5.925925925925926</v>
      </c>
      <c r="E44" s="446">
        <v>5.558303013176022</v>
      </c>
    </row>
    <row r="45" spans="1:5" ht="11.1" customHeight="1">
      <c r="A45" s="196" t="s">
        <v>199</v>
      </c>
      <c r="B45" s="453"/>
      <c r="C45" s="453"/>
      <c r="D45" s="453"/>
      <c r="E45" s="453"/>
    </row>
    <row r="46" spans="1:5" ht="11.1" customHeight="1">
      <c r="A46" s="421" t="s">
        <v>372</v>
      </c>
      <c r="B46" s="445">
        <v>3.0728298935772327</v>
      </c>
      <c r="C46" s="445">
        <v>2.456314269753975</v>
      </c>
      <c r="D46" s="445">
        <v>2.4753086419753085</v>
      </c>
      <c r="E46" s="446">
        <v>2.3331802606944794</v>
      </c>
    </row>
    <row r="47" spans="1:5" ht="11.1" customHeight="1">
      <c r="A47" s="196" t="s">
        <v>205</v>
      </c>
      <c r="B47" s="453"/>
      <c r="C47" s="453"/>
      <c r="D47" s="453"/>
      <c r="E47" s="453"/>
    </row>
    <row r="48" spans="1:5" ht="11.1" customHeight="1">
      <c r="A48" s="415" t="s">
        <v>375</v>
      </c>
      <c r="B48" s="442">
        <v>4.187208867430553</v>
      </c>
      <c r="C48" s="442">
        <v>5.6388226685864</v>
      </c>
      <c r="D48" s="442">
        <v>5.723765432098766</v>
      </c>
      <c r="E48" s="443">
        <v>5.095552651100357</v>
      </c>
    </row>
    <row r="49" spans="1:5" ht="11.1" customHeight="1">
      <c r="A49" s="196" t="s">
        <v>376</v>
      </c>
      <c r="B49" s="453"/>
      <c r="C49" s="453"/>
      <c r="D49" s="453"/>
      <c r="E49" s="453"/>
    </row>
    <row r="50" spans="1:5" s="451" customFormat="1" ht="11.1" customHeight="1">
      <c r="A50" s="287" t="s">
        <v>373</v>
      </c>
      <c r="B50" s="452"/>
      <c r="C50" s="452"/>
      <c r="D50" s="452"/>
      <c r="E50" s="452"/>
    </row>
    <row r="51" spans="1:5" s="451" customFormat="1" ht="11.1" customHeight="1">
      <c r="A51" s="421" t="s">
        <v>374</v>
      </c>
      <c r="B51" s="445">
        <v>2.827173506511169</v>
      </c>
      <c r="C51" s="445">
        <v>3.8866728035184614</v>
      </c>
      <c r="D51" s="445">
        <v>3.9830246913580245</v>
      </c>
      <c r="E51" s="446">
        <v>3.2745769896499346</v>
      </c>
    </row>
    <row r="52" spans="1:5" ht="11.1" customHeight="1">
      <c r="A52" s="196" t="s">
        <v>206</v>
      </c>
      <c r="B52" s="436"/>
      <c r="C52" s="436"/>
      <c r="D52" s="436"/>
      <c r="E52" s="436"/>
    </row>
    <row r="53" spans="1:5" ht="21.75" customHeight="1">
      <c r="A53" s="609" t="s">
        <v>367</v>
      </c>
      <c r="B53" s="609"/>
      <c r="C53" s="609"/>
      <c r="D53" s="609"/>
      <c r="E53" s="609"/>
    </row>
    <row r="54" spans="1:5" ht="24" customHeight="1">
      <c r="A54" s="608" t="s">
        <v>207</v>
      </c>
      <c r="B54" s="608"/>
      <c r="C54" s="608"/>
      <c r="D54" s="608"/>
      <c r="E54" s="608"/>
    </row>
  </sheetData>
  <mergeCells count="8">
    <mergeCell ref="A53:E53"/>
    <mergeCell ref="A54:E54"/>
    <mergeCell ref="B7:E7"/>
    <mergeCell ref="B10:E10"/>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78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topLeftCell="A1">
      <selection activeCell="E31" sqref="E31"/>
    </sheetView>
  </sheetViews>
  <sheetFormatPr defaultColWidth="9.140625" defaultRowHeight="15"/>
  <cols>
    <col min="1" max="1" width="38.00390625" style="96" customWidth="1"/>
    <col min="2" max="5" width="12.28125" style="96" customWidth="1"/>
    <col min="6" max="10" width="6.28125" style="96" customWidth="1"/>
    <col min="11" max="16384" width="9.140625" style="96" customWidth="1"/>
  </cols>
  <sheetData>
    <row r="1" spans="1:5" ht="39.95" customHeight="1">
      <c r="A1" s="584" t="s">
        <v>943</v>
      </c>
      <c r="B1" s="584"/>
      <c r="C1" s="584"/>
      <c r="D1" s="584"/>
      <c r="E1" s="584"/>
    </row>
    <row r="2" spans="1:5" ht="39.95" customHeight="1">
      <c r="A2" s="579" t="s">
        <v>944</v>
      </c>
      <c r="B2" s="579"/>
      <c r="C2" s="579"/>
      <c r="D2" s="579"/>
      <c r="E2" s="579"/>
    </row>
    <row r="3" spans="1:5" ht="23.1" customHeight="1">
      <c r="A3" s="625" t="s">
        <v>602</v>
      </c>
      <c r="B3" s="639" t="s">
        <v>796</v>
      </c>
      <c r="C3" s="640"/>
      <c r="D3" s="640"/>
      <c r="E3" s="640"/>
    </row>
    <row r="4" spans="1:5" ht="73.5" customHeight="1">
      <c r="A4" s="627"/>
      <c r="B4" s="411" t="s">
        <v>797</v>
      </c>
      <c r="C4" s="411" t="s">
        <v>798</v>
      </c>
      <c r="D4" s="411" t="s">
        <v>799</v>
      </c>
      <c r="E4" s="412" t="s">
        <v>800</v>
      </c>
    </row>
    <row r="5" spans="1:5" s="418" customFormat="1" ht="11.1" customHeight="1">
      <c r="A5" s="437" t="s">
        <v>820</v>
      </c>
      <c r="B5" s="457">
        <v>103.95885617334135</v>
      </c>
      <c r="C5" s="457">
        <v>103.59101837890705</v>
      </c>
      <c r="D5" s="457">
        <v>102.34864877671252</v>
      </c>
      <c r="E5" s="458">
        <v>108.91428131732839</v>
      </c>
    </row>
    <row r="6" spans="1:5" s="418" customFormat="1" ht="11.1" customHeight="1">
      <c r="A6" s="422" t="s">
        <v>821</v>
      </c>
      <c r="B6" s="459"/>
      <c r="C6" s="459"/>
      <c r="D6" s="459"/>
      <c r="E6" s="444"/>
    </row>
    <row r="7" spans="1:5" s="418" customFormat="1" ht="11.1" customHeight="1">
      <c r="A7" s="415" t="s">
        <v>358</v>
      </c>
      <c r="B7" s="457">
        <v>104.09574910189043</v>
      </c>
      <c r="C7" s="460">
        <v>104.01998282725782</v>
      </c>
      <c r="D7" s="460">
        <v>102.86241065490272</v>
      </c>
      <c r="E7" s="461">
        <v>108.86932560707521</v>
      </c>
    </row>
    <row r="8" spans="1:5" s="418" customFormat="1" ht="11.1" customHeight="1">
      <c r="A8" s="422" t="s">
        <v>197</v>
      </c>
      <c r="B8" s="423"/>
      <c r="C8" s="423"/>
      <c r="D8" s="423"/>
      <c r="E8" s="424"/>
    </row>
    <row r="9" spans="1:5" s="418" customFormat="1" ht="11.1" customHeight="1">
      <c r="A9" s="432" t="s">
        <v>822</v>
      </c>
      <c r="B9" s="423"/>
      <c r="C9" s="423"/>
      <c r="D9" s="423"/>
      <c r="E9" s="424"/>
    </row>
    <row r="10" spans="1:5" s="418" customFormat="1" ht="11.1" customHeight="1">
      <c r="A10" s="454" t="s">
        <v>359</v>
      </c>
      <c r="B10" s="462">
        <v>104.7</v>
      </c>
      <c r="C10" s="463">
        <v>104.5</v>
      </c>
      <c r="D10" s="463">
        <v>104.2</v>
      </c>
      <c r="E10" s="464">
        <v>104.6</v>
      </c>
    </row>
    <row r="11" spans="1:5" s="418" customFormat="1" ht="11.1" customHeight="1">
      <c r="A11" s="438" t="s">
        <v>201</v>
      </c>
      <c r="B11" s="459"/>
      <c r="C11" s="459"/>
      <c r="D11" s="459"/>
      <c r="E11" s="444"/>
    </row>
    <row r="12" spans="1:5" s="433" customFormat="1" ht="11.1" customHeight="1">
      <c r="A12" s="454" t="s">
        <v>360</v>
      </c>
      <c r="B12" s="462">
        <v>100.5</v>
      </c>
      <c r="C12" s="463">
        <v>104.6</v>
      </c>
      <c r="D12" s="463">
        <v>103.4</v>
      </c>
      <c r="E12" s="464">
        <v>110.6</v>
      </c>
    </row>
    <row r="13" spans="1:5" s="433" customFormat="1" ht="11.1" customHeight="1">
      <c r="A13" s="432" t="s">
        <v>810</v>
      </c>
      <c r="B13" s="447"/>
      <c r="C13" s="447"/>
      <c r="D13" s="447"/>
      <c r="E13" s="448"/>
    </row>
    <row r="14" spans="1:5" s="433" customFormat="1" ht="11.1" customHeight="1">
      <c r="A14" s="454" t="s">
        <v>823</v>
      </c>
      <c r="B14" s="462">
        <v>98.3</v>
      </c>
      <c r="C14" s="463">
        <v>93.7</v>
      </c>
      <c r="D14" s="463">
        <v>93.3</v>
      </c>
      <c r="E14" s="464">
        <v>93.8</v>
      </c>
    </row>
    <row r="15" spans="1:5" s="433" customFormat="1" ht="11.1" customHeight="1">
      <c r="A15" s="432" t="s">
        <v>824</v>
      </c>
      <c r="B15" s="447"/>
      <c r="C15" s="447"/>
      <c r="D15" s="447"/>
      <c r="E15" s="448"/>
    </row>
    <row r="16" spans="1:5" s="418" customFormat="1" ht="11.1" customHeight="1">
      <c r="A16" s="454" t="s">
        <v>381</v>
      </c>
      <c r="B16" s="462">
        <v>103.9</v>
      </c>
      <c r="C16" s="463">
        <v>104.2</v>
      </c>
      <c r="D16" s="463">
        <v>102.5</v>
      </c>
      <c r="E16" s="464">
        <v>112.4</v>
      </c>
    </row>
    <row r="17" spans="1:5" s="418" customFormat="1" ht="11.1" customHeight="1">
      <c r="A17" s="300" t="s">
        <v>227</v>
      </c>
      <c r="B17" s="423"/>
      <c r="C17" s="423"/>
      <c r="D17" s="423"/>
      <c r="E17" s="424"/>
    </row>
    <row r="18" spans="1:5" s="418" customFormat="1" ht="11.1" customHeight="1">
      <c r="A18" s="298" t="s">
        <v>825</v>
      </c>
      <c r="B18" s="462">
        <v>103</v>
      </c>
      <c r="C18" s="465">
        <v>102.2</v>
      </c>
      <c r="D18" s="465">
        <v>100.7</v>
      </c>
      <c r="E18" s="466">
        <v>109.7</v>
      </c>
    </row>
    <row r="19" spans="1:5" s="418" customFormat="1" ht="11.1" customHeight="1">
      <c r="A19" s="257" t="s">
        <v>813</v>
      </c>
      <c r="B19" s="423"/>
      <c r="C19" s="423"/>
      <c r="D19" s="423"/>
      <c r="E19" s="424"/>
    </row>
    <row r="20" spans="1:5" s="451" customFormat="1" ht="11.1" customHeight="1">
      <c r="A20" s="287" t="s">
        <v>382</v>
      </c>
      <c r="B20" s="449"/>
      <c r="C20" s="449"/>
      <c r="D20" s="449"/>
      <c r="E20" s="450"/>
    </row>
    <row r="21" spans="1:5" s="451" customFormat="1" ht="11.1" customHeight="1">
      <c r="A21" s="454" t="s">
        <v>383</v>
      </c>
      <c r="B21" s="462">
        <v>106.7</v>
      </c>
      <c r="C21" s="465">
        <v>105.4</v>
      </c>
      <c r="D21" s="465">
        <v>105</v>
      </c>
      <c r="E21" s="466">
        <v>104.3</v>
      </c>
    </row>
    <row r="22" spans="1:5" s="433" customFormat="1" ht="21" customHeight="1">
      <c r="A22" s="196" t="s">
        <v>384</v>
      </c>
      <c r="B22" s="447"/>
      <c r="C22" s="447"/>
      <c r="D22" s="447"/>
      <c r="E22" s="448"/>
    </row>
    <row r="23" spans="1:5" s="418" customFormat="1" ht="11.1" customHeight="1">
      <c r="A23" s="196" t="s">
        <v>826</v>
      </c>
      <c r="B23" s="467">
        <v>107.1</v>
      </c>
      <c r="C23" s="468">
        <v>106.7</v>
      </c>
      <c r="D23" s="468">
        <v>105.2</v>
      </c>
      <c r="E23" s="466">
        <v>112.9</v>
      </c>
    </row>
    <row r="24" spans="1:5" s="418" customFormat="1" ht="11.1" customHeight="1">
      <c r="A24" s="257" t="s">
        <v>814</v>
      </c>
      <c r="B24" s="423"/>
      <c r="C24" s="423"/>
      <c r="D24" s="423"/>
      <c r="E24" s="424"/>
    </row>
    <row r="25" spans="1:5" ht="11.1" customHeight="1">
      <c r="A25" s="257" t="s">
        <v>364</v>
      </c>
      <c r="B25" s="452"/>
      <c r="C25" s="452"/>
      <c r="D25" s="452"/>
      <c r="E25" s="452"/>
    </row>
    <row r="26" spans="1:5" ht="11.1" customHeight="1">
      <c r="A26" s="454" t="s">
        <v>385</v>
      </c>
      <c r="B26" s="462">
        <v>101.9</v>
      </c>
      <c r="C26" s="463">
        <v>101.1</v>
      </c>
      <c r="D26" s="463">
        <v>99.3</v>
      </c>
      <c r="E26" s="464">
        <v>109.9</v>
      </c>
    </row>
    <row r="27" spans="1:5" ht="11.1" customHeight="1">
      <c r="A27" s="196" t="s">
        <v>368</v>
      </c>
      <c r="B27" s="452"/>
      <c r="C27" s="452"/>
      <c r="D27" s="452"/>
      <c r="E27" s="452"/>
    </row>
    <row r="28" spans="1:5" s="451" customFormat="1" ht="11.1" customHeight="1">
      <c r="A28" s="287" t="s">
        <v>369</v>
      </c>
      <c r="B28" s="452"/>
      <c r="C28" s="452"/>
      <c r="D28" s="452"/>
      <c r="E28" s="452"/>
    </row>
    <row r="29" spans="1:5" s="451" customFormat="1" ht="11.1" customHeight="1">
      <c r="A29" s="454" t="s">
        <v>370</v>
      </c>
      <c r="B29" s="462">
        <v>113</v>
      </c>
      <c r="C29" s="463">
        <v>109.3</v>
      </c>
      <c r="D29" s="463">
        <v>107.7</v>
      </c>
      <c r="E29" s="464">
        <v>115</v>
      </c>
    </row>
    <row r="30" spans="1:5" ht="11.1" customHeight="1">
      <c r="A30" s="196" t="s">
        <v>202</v>
      </c>
      <c r="B30" s="452"/>
      <c r="C30" s="452"/>
      <c r="D30" s="452"/>
      <c r="E30" s="452"/>
    </row>
    <row r="31" spans="1:5" s="451" customFormat="1" ht="11.1" customHeight="1">
      <c r="A31" s="287" t="s">
        <v>827</v>
      </c>
      <c r="B31" s="467">
        <v>103.7</v>
      </c>
      <c r="C31" s="467">
        <v>110</v>
      </c>
      <c r="D31" s="467">
        <v>108.8</v>
      </c>
      <c r="E31" s="466">
        <v>110.7</v>
      </c>
    </row>
    <row r="32" spans="1:5" s="451" customFormat="1" ht="11.1" customHeight="1">
      <c r="A32" s="287" t="s">
        <v>828</v>
      </c>
      <c r="B32" s="462">
        <v>98.1</v>
      </c>
      <c r="C32" s="463">
        <v>97.2</v>
      </c>
      <c r="D32" s="463">
        <v>96.5</v>
      </c>
      <c r="E32" s="464">
        <v>100.5</v>
      </c>
    </row>
    <row r="33" spans="1:5" s="451" customFormat="1" ht="11.1" customHeight="1">
      <c r="A33" s="287" t="s">
        <v>829</v>
      </c>
      <c r="B33" s="462">
        <v>104.7</v>
      </c>
      <c r="C33" s="463">
        <v>103.2</v>
      </c>
      <c r="D33" s="463">
        <v>102.5</v>
      </c>
      <c r="E33" s="464">
        <v>103.3</v>
      </c>
    </row>
    <row r="34" spans="1:5" s="451" customFormat="1" ht="11.1" customHeight="1">
      <c r="A34" s="11" t="s">
        <v>830</v>
      </c>
      <c r="B34" s="452"/>
      <c r="C34" s="452"/>
      <c r="D34" s="452"/>
      <c r="E34" s="452"/>
    </row>
    <row r="35" spans="1:5" s="451" customFormat="1" ht="11.1" customHeight="1">
      <c r="A35" s="454" t="s">
        <v>386</v>
      </c>
      <c r="B35" s="462">
        <v>105.7</v>
      </c>
      <c r="C35" s="463">
        <v>90.1</v>
      </c>
      <c r="D35" s="463">
        <v>81.6</v>
      </c>
      <c r="E35" s="469">
        <v>179</v>
      </c>
    </row>
    <row r="36" spans="1:5" s="451" customFormat="1" ht="11.1" customHeight="1">
      <c r="A36" s="287" t="s">
        <v>831</v>
      </c>
      <c r="B36" s="452"/>
      <c r="C36" s="452"/>
      <c r="D36" s="452"/>
      <c r="E36" s="452"/>
    </row>
    <row r="37" spans="1:5" ht="11.1" customHeight="1">
      <c r="A37" s="454" t="s">
        <v>391</v>
      </c>
      <c r="B37" s="462">
        <v>108.9</v>
      </c>
      <c r="C37" s="463">
        <v>102</v>
      </c>
      <c r="D37" s="463">
        <v>99.5</v>
      </c>
      <c r="E37" s="464">
        <v>115.9</v>
      </c>
    </row>
    <row r="38" spans="1:5" ht="11.1" customHeight="1">
      <c r="A38" s="196" t="s">
        <v>203</v>
      </c>
      <c r="B38" s="453"/>
      <c r="C38" s="453"/>
      <c r="D38" s="453"/>
      <c r="E38" s="453"/>
    </row>
    <row r="39" spans="1:5" ht="11.1" customHeight="1">
      <c r="A39" s="298" t="s">
        <v>832</v>
      </c>
      <c r="B39" s="462">
        <v>105.3</v>
      </c>
      <c r="C39" s="463">
        <v>104.5</v>
      </c>
      <c r="D39" s="463">
        <v>102.4</v>
      </c>
      <c r="E39" s="464">
        <v>115.5</v>
      </c>
    </row>
    <row r="40" spans="1:5" ht="11.1" customHeight="1">
      <c r="A40" s="11" t="s">
        <v>204</v>
      </c>
      <c r="B40" s="453"/>
      <c r="C40" s="453"/>
      <c r="D40" s="453"/>
      <c r="E40" s="453"/>
    </row>
    <row r="41" spans="1:5" ht="11.1" customHeight="1">
      <c r="A41" s="454" t="s">
        <v>372</v>
      </c>
      <c r="B41" s="462">
        <v>103.9</v>
      </c>
      <c r="C41" s="463">
        <v>103.4</v>
      </c>
      <c r="D41" s="463">
        <v>103</v>
      </c>
      <c r="E41" s="464">
        <v>102.6</v>
      </c>
    </row>
    <row r="42" spans="1:5" ht="11.1" customHeight="1">
      <c r="A42" s="196" t="s">
        <v>205</v>
      </c>
      <c r="B42" s="453"/>
      <c r="C42" s="453"/>
      <c r="D42" s="453"/>
      <c r="E42" s="453"/>
    </row>
    <row r="43" spans="1:5" ht="11.1" customHeight="1">
      <c r="A43" s="455" t="s">
        <v>375</v>
      </c>
      <c r="B43" s="457">
        <v>100.9219422249539</v>
      </c>
      <c r="C43" s="460">
        <v>96.90373174689022</v>
      </c>
      <c r="D43" s="460">
        <v>94.5570427023582</v>
      </c>
      <c r="E43" s="461">
        <v>109.75841734829753</v>
      </c>
    </row>
    <row r="44" spans="1:5" ht="11.1" customHeight="1">
      <c r="A44" s="196" t="s">
        <v>376</v>
      </c>
      <c r="B44" s="453"/>
      <c r="C44" s="453"/>
      <c r="D44" s="453"/>
      <c r="E44" s="453"/>
    </row>
    <row r="45" spans="1:5" s="451" customFormat="1" ht="11.1" customHeight="1">
      <c r="A45" s="287" t="s">
        <v>387</v>
      </c>
      <c r="B45" s="452"/>
      <c r="C45" s="452"/>
      <c r="D45" s="452"/>
      <c r="E45" s="452"/>
    </row>
    <row r="46" spans="1:5" s="451" customFormat="1" ht="11.1" customHeight="1">
      <c r="A46" s="454" t="s">
        <v>388</v>
      </c>
      <c r="B46" s="462">
        <v>98.57735625370478</v>
      </c>
      <c r="C46" s="463">
        <v>95.5512572533849</v>
      </c>
      <c r="D46" s="463">
        <v>91.85053380782917</v>
      </c>
      <c r="E46" s="464">
        <v>122.65960965927884</v>
      </c>
    </row>
    <row r="47" spans="1:5" ht="11.1" customHeight="1">
      <c r="A47" s="11" t="s">
        <v>206</v>
      </c>
      <c r="B47" s="453"/>
      <c r="C47" s="453"/>
      <c r="D47" s="453"/>
      <c r="E47" s="453"/>
    </row>
    <row r="48" spans="1:5" ht="11.1" customHeight="1">
      <c r="A48" s="455" t="s">
        <v>389</v>
      </c>
      <c r="B48" s="470">
        <v>101.92044722876604</v>
      </c>
      <c r="C48" s="471">
        <v>101.26199255025128</v>
      </c>
      <c r="D48" s="471">
        <v>100.04755501144919</v>
      </c>
      <c r="E48" s="472">
        <v>106.5697468858399</v>
      </c>
    </row>
    <row r="49" spans="1:5" ht="11.1" customHeight="1">
      <c r="A49" s="196" t="s">
        <v>200</v>
      </c>
      <c r="B49" s="473"/>
      <c r="C49" s="473"/>
      <c r="D49" s="473"/>
      <c r="E49" s="473"/>
    </row>
    <row r="50" spans="1:5" ht="11.1" customHeight="1">
      <c r="A50" s="257" t="s">
        <v>833</v>
      </c>
      <c r="B50" s="473"/>
      <c r="C50" s="473"/>
      <c r="D50" s="473"/>
      <c r="E50" s="473"/>
    </row>
    <row r="51" spans="1:5" ht="11.1" customHeight="1">
      <c r="A51" s="455" t="s">
        <v>390</v>
      </c>
      <c r="B51" s="470">
        <v>102.05465598224552</v>
      </c>
      <c r="C51" s="471">
        <v>101.68131263661566</v>
      </c>
      <c r="D51" s="471">
        <v>100.54976603607304</v>
      </c>
      <c r="E51" s="472">
        <v>106.52575891103248</v>
      </c>
    </row>
    <row r="52" spans="1:5" ht="11.1" customHeight="1">
      <c r="A52" s="456" t="s">
        <v>197</v>
      </c>
      <c r="B52" s="453"/>
      <c r="C52" s="453"/>
      <c r="D52" s="453"/>
      <c r="E52" s="453"/>
    </row>
    <row r="53" spans="1:5" s="474" customFormat="1" ht="20.1" customHeight="1">
      <c r="A53" s="609" t="s">
        <v>367</v>
      </c>
      <c r="B53" s="609"/>
      <c r="C53" s="609"/>
      <c r="D53" s="609"/>
      <c r="E53" s="609"/>
    </row>
    <row r="54" spans="1:5" s="474" customFormat="1" ht="20.1" customHeight="1">
      <c r="A54" s="608" t="s">
        <v>207</v>
      </c>
      <c r="B54" s="608"/>
      <c r="C54" s="608"/>
      <c r="D54" s="608"/>
      <c r="E54" s="608"/>
    </row>
  </sheetData>
  <mergeCells count="6">
    <mergeCell ref="A53:E53"/>
    <mergeCell ref="A54:E54"/>
    <mergeCell ref="A1:E1"/>
    <mergeCell ref="A2:E2"/>
    <mergeCell ref="B3:E3"/>
    <mergeCell ref="A3:A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&amp;R&amp;"Arial,Normalny"&amp;10 79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Layout" workbookViewId="0" topLeftCell="A19">
      <selection activeCell="E31" sqref="E31"/>
    </sheetView>
  </sheetViews>
  <sheetFormatPr defaultColWidth="9.140625" defaultRowHeight="15"/>
  <cols>
    <col min="1" max="1" width="34.7109375" style="96" customWidth="1"/>
    <col min="2" max="6" width="10.28125" style="96" customWidth="1"/>
    <col min="7" max="11" width="6.28125" style="96" customWidth="1"/>
    <col min="12" max="16384" width="9.140625" style="96" customWidth="1"/>
  </cols>
  <sheetData>
    <row r="1" spans="1:6" ht="39.95" customHeight="1">
      <c r="A1" s="653" t="s">
        <v>835</v>
      </c>
      <c r="B1" s="653"/>
      <c r="C1" s="653"/>
      <c r="D1" s="653"/>
      <c r="E1" s="653"/>
      <c r="F1" s="653"/>
    </row>
    <row r="2" spans="1:6" ht="27.95" customHeight="1">
      <c r="A2" s="579" t="s">
        <v>836</v>
      </c>
      <c r="B2" s="579"/>
      <c r="C2" s="579"/>
      <c r="D2" s="579"/>
      <c r="E2" s="579"/>
      <c r="F2" s="579"/>
    </row>
    <row r="3" spans="1:6" ht="9.95" customHeight="1">
      <c r="A3" s="97"/>
      <c r="B3" s="97"/>
      <c r="C3" s="97"/>
      <c r="D3" s="97"/>
      <c r="E3" s="97"/>
      <c r="F3" s="97"/>
    </row>
    <row r="4" spans="1:6" ht="33.75" customHeight="1">
      <c r="A4" s="625" t="s">
        <v>837</v>
      </c>
      <c r="B4" s="686" t="s">
        <v>838</v>
      </c>
      <c r="C4" s="639" t="s">
        <v>796</v>
      </c>
      <c r="D4" s="640"/>
      <c r="E4" s="640"/>
      <c r="F4" s="640"/>
    </row>
    <row r="5" spans="1:6" ht="90.75" customHeight="1">
      <c r="A5" s="685"/>
      <c r="B5" s="687"/>
      <c r="C5" s="98" t="s">
        <v>839</v>
      </c>
      <c r="D5" s="98" t="s">
        <v>798</v>
      </c>
      <c r="E5" s="98" t="s">
        <v>799</v>
      </c>
      <c r="F5" s="99" t="s">
        <v>800</v>
      </c>
    </row>
    <row r="6" spans="1:6" ht="5.1" customHeight="1">
      <c r="A6" s="475"/>
      <c r="B6" s="475"/>
      <c r="C6" s="476"/>
      <c r="D6" s="477"/>
      <c r="E6" s="477"/>
      <c r="F6" s="477"/>
    </row>
    <row r="7" spans="1:6" s="451" customFormat="1" ht="12" customHeight="1">
      <c r="A7" s="478" t="s">
        <v>840</v>
      </c>
      <c r="B7" s="479" t="s">
        <v>188</v>
      </c>
      <c r="C7" s="480">
        <v>3.31</v>
      </c>
      <c r="D7" s="480">
        <v>4.07</v>
      </c>
      <c r="E7" s="480">
        <v>4.03</v>
      </c>
      <c r="F7" s="481">
        <v>4.3</v>
      </c>
    </row>
    <row r="8" spans="1:6" s="451" customFormat="1" ht="11.1" customHeight="1">
      <c r="A8" s="421" t="s">
        <v>410</v>
      </c>
      <c r="B8" s="479" t="s">
        <v>188</v>
      </c>
      <c r="C8" s="480">
        <v>0.38</v>
      </c>
      <c r="D8" s="480">
        <v>0.46</v>
      </c>
      <c r="E8" s="480">
        <v>0.45</v>
      </c>
      <c r="F8" s="481">
        <v>0.47</v>
      </c>
    </row>
    <row r="9" spans="1:6" s="451" customFormat="1" ht="11.1" customHeight="1">
      <c r="A9" s="482" t="s">
        <v>189</v>
      </c>
      <c r="B9" s="479"/>
      <c r="C9" s="423"/>
      <c r="D9" s="423"/>
      <c r="E9" s="423"/>
      <c r="F9" s="424"/>
    </row>
    <row r="10" spans="1:6" s="451" customFormat="1" ht="11.45" customHeight="1">
      <c r="A10" s="483" t="s">
        <v>841</v>
      </c>
      <c r="B10" s="479" t="s">
        <v>188</v>
      </c>
      <c r="C10" s="480">
        <v>0.63</v>
      </c>
      <c r="D10" s="480">
        <v>0.88</v>
      </c>
      <c r="E10" s="480">
        <v>0.88</v>
      </c>
      <c r="F10" s="484">
        <v>0.85</v>
      </c>
    </row>
    <row r="11" spans="1:6" s="451" customFormat="1" ht="11.1" customHeight="1">
      <c r="A11" s="478" t="s">
        <v>842</v>
      </c>
      <c r="B11" s="479" t="s">
        <v>188</v>
      </c>
      <c r="C11" s="480">
        <v>5.28</v>
      </c>
      <c r="D11" s="480">
        <v>6.86</v>
      </c>
      <c r="E11" s="480">
        <v>6.87</v>
      </c>
      <c r="F11" s="485">
        <v>6.81</v>
      </c>
    </row>
    <row r="12" spans="1:6" s="451" customFormat="1" ht="11.1" customHeight="1">
      <c r="A12" s="483" t="s">
        <v>843</v>
      </c>
      <c r="B12" s="479"/>
      <c r="C12" s="449"/>
      <c r="D12" s="449"/>
      <c r="E12" s="449"/>
      <c r="F12" s="450"/>
    </row>
    <row r="13" spans="1:6" s="451" customFormat="1" ht="11.1" customHeight="1">
      <c r="A13" s="486" t="s">
        <v>844</v>
      </c>
      <c r="B13" s="487" t="s">
        <v>188</v>
      </c>
      <c r="C13" s="480">
        <v>3</v>
      </c>
      <c r="D13" s="480">
        <v>3.93</v>
      </c>
      <c r="E13" s="480">
        <v>3.94</v>
      </c>
      <c r="F13" s="481">
        <v>3.89</v>
      </c>
    </row>
    <row r="14" spans="1:6" s="488" customFormat="1" ht="11.1" customHeight="1">
      <c r="A14" s="421" t="s">
        <v>845</v>
      </c>
      <c r="B14" s="479" t="s">
        <v>188</v>
      </c>
      <c r="C14" s="480">
        <v>1.56</v>
      </c>
      <c r="D14" s="480">
        <v>2.01</v>
      </c>
      <c r="E14" s="480">
        <v>2</v>
      </c>
      <c r="F14" s="484">
        <v>2.0700000000000003</v>
      </c>
    </row>
    <row r="15" spans="1:6" s="488" customFormat="1" ht="11.1" customHeight="1">
      <c r="A15" s="482" t="s">
        <v>398</v>
      </c>
      <c r="B15" s="479"/>
      <c r="C15" s="489"/>
      <c r="D15" s="489"/>
      <c r="E15" s="489"/>
      <c r="F15" s="490"/>
    </row>
    <row r="16" spans="1:6" s="488" customFormat="1" ht="12" customHeight="1">
      <c r="A16" s="491" t="s">
        <v>846</v>
      </c>
      <c r="B16" s="479" t="s">
        <v>188</v>
      </c>
      <c r="C16" s="480">
        <v>2.04</v>
      </c>
      <c r="D16" s="480">
        <v>2.53</v>
      </c>
      <c r="E16" s="480">
        <v>2.52</v>
      </c>
      <c r="F16" s="484">
        <v>2.53</v>
      </c>
    </row>
    <row r="17" spans="1:6" s="495" customFormat="1" ht="24" customHeight="1">
      <c r="A17" s="80" t="s">
        <v>847</v>
      </c>
      <c r="B17" s="492"/>
      <c r="C17" s="493"/>
      <c r="D17" s="493"/>
      <c r="E17" s="493"/>
      <c r="F17" s="494"/>
    </row>
    <row r="18" spans="1:6" s="451" customFormat="1" ht="11.45" customHeight="1">
      <c r="A18" s="287" t="s">
        <v>848</v>
      </c>
      <c r="B18" s="496" t="s">
        <v>188</v>
      </c>
      <c r="C18" s="480">
        <v>0.29</v>
      </c>
      <c r="D18" s="480">
        <v>0.43</v>
      </c>
      <c r="E18" s="480">
        <v>0.44</v>
      </c>
      <c r="F18" s="484">
        <v>0.35</v>
      </c>
    </row>
    <row r="19" spans="1:6" s="451" customFormat="1" ht="11.45" customHeight="1">
      <c r="A19" s="11" t="s">
        <v>849</v>
      </c>
      <c r="B19" s="496" t="s">
        <v>190</v>
      </c>
      <c r="C19" s="480">
        <v>2.99</v>
      </c>
      <c r="D19" s="480">
        <v>3.58</v>
      </c>
      <c r="E19" s="480">
        <v>3.58</v>
      </c>
      <c r="F19" s="484">
        <v>3.59</v>
      </c>
    </row>
    <row r="20" spans="1:6" s="451" customFormat="1" ht="11.45" customHeight="1">
      <c r="A20" s="287" t="s">
        <v>850</v>
      </c>
      <c r="B20" s="496" t="s">
        <v>188</v>
      </c>
      <c r="C20" s="480">
        <v>0.86</v>
      </c>
      <c r="D20" s="480">
        <v>1.01</v>
      </c>
      <c r="E20" s="480">
        <v>1.03</v>
      </c>
      <c r="F20" s="484">
        <v>0.92</v>
      </c>
    </row>
    <row r="21" spans="1:6" s="451" customFormat="1" ht="11.1" customHeight="1">
      <c r="A21" s="421" t="s">
        <v>851</v>
      </c>
      <c r="B21" s="496" t="s">
        <v>190</v>
      </c>
      <c r="C21" s="480">
        <v>0.36</v>
      </c>
      <c r="D21" s="480">
        <v>0.52</v>
      </c>
      <c r="E21" s="480">
        <v>0.52</v>
      </c>
      <c r="F21" s="485">
        <v>0.51</v>
      </c>
    </row>
    <row r="22" spans="1:6" s="451" customFormat="1" ht="11.1" customHeight="1">
      <c r="A22" s="11" t="s">
        <v>399</v>
      </c>
      <c r="B22" s="496"/>
      <c r="C22" s="449"/>
      <c r="D22" s="449"/>
      <c r="E22" s="449"/>
      <c r="F22" s="450"/>
    </row>
    <row r="23" spans="1:6" s="451" customFormat="1" ht="11.1" customHeight="1">
      <c r="A23" s="421" t="s">
        <v>400</v>
      </c>
      <c r="B23" s="496" t="s">
        <v>191</v>
      </c>
      <c r="C23" s="480">
        <v>11.42</v>
      </c>
      <c r="D23" s="480">
        <v>14.93</v>
      </c>
      <c r="E23" s="480">
        <v>15.02</v>
      </c>
      <c r="F23" s="485">
        <v>14.43</v>
      </c>
    </row>
    <row r="24" spans="1:6" s="451" customFormat="1" ht="11.45" customHeight="1">
      <c r="A24" s="11" t="s">
        <v>401</v>
      </c>
      <c r="B24" s="496"/>
      <c r="C24" s="449"/>
      <c r="D24" s="449"/>
      <c r="E24" s="449"/>
      <c r="F24" s="450"/>
    </row>
    <row r="25" spans="1:6" s="451" customFormat="1" ht="11.45" customHeight="1">
      <c r="A25" s="11" t="s">
        <v>852</v>
      </c>
      <c r="B25" s="496" t="s">
        <v>188</v>
      </c>
      <c r="C25" s="480">
        <v>1.11</v>
      </c>
      <c r="D25" s="480">
        <v>1.51</v>
      </c>
      <c r="E25" s="480">
        <v>1.51</v>
      </c>
      <c r="F25" s="485">
        <v>1.51</v>
      </c>
    </row>
    <row r="26" spans="1:6" s="451" customFormat="1" ht="11.1" customHeight="1">
      <c r="A26" s="421" t="s">
        <v>402</v>
      </c>
      <c r="B26" s="496" t="s">
        <v>188</v>
      </c>
      <c r="C26" s="480">
        <v>0.33</v>
      </c>
      <c r="D26" s="480">
        <v>0.51</v>
      </c>
      <c r="E26" s="480">
        <v>0.52</v>
      </c>
      <c r="F26" s="497">
        <v>0.44</v>
      </c>
    </row>
    <row r="27" spans="1:6" s="451" customFormat="1" ht="11.1" customHeight="1">
      <c r="A27" s="11" t="s">
        <v>403</v>
      </c>
      <c r="B27" s="496"/>
      <c r="C27" s="449"/>
      <c r="D27" s="449"/>
      <c r="E27" s="449"/>
      <c r="F27" s="450"/>
    </row>
    <row r="28" spans="1:6" s="451" customFormat="1" ht="11.1" customHeight="1">
      <c r="A28" s="421" t="s">
        <v>853</v>
      </c>
      <c r="B28" s="496" t="s">
        <v>188</v>
      </c>
      <c r="C28" s="480">
        <v>0.26</v>
      </c>
      <c r="D28" s="480">
        <v>0.37</v>
      </c>
      <c r="E28" s="480">
        <v>0.38</v>
      </c>
      <c r="F28" s="485">
        <v>0.31</v>
      </c>
    </row>
    <row r="29" spans="1:6" s="451" customFormat="1" ht="11.1" customHeight="1">
      <c r="A29" s="498" t="s">
        <v>404</v>
      </c>
      <c r="B29" s="496"/>
      <c r="C29" s="449"/>
      <c r="D29" s="449"/>
      <c r="E29" s="449"/>
      <c r="F29" s="450"/>
    </row>
    <row r="30" spans="1:6" s="451" customFormat="1" ht="11.1" customHeight="1">
      <c r="A30" s="421" t="s">
        <v>405</v>
      </c>
      <c r="B30" s="496" t="s">
        <v>188</v>
      </c>
      <c r="C30" s="499">
        <v>0.78</v>
      </c>
      <c r="D30" s="499">
        <v>1</v>
      </c>
      <c r="E30" s="499">
        <v>0.99</v>
      </c>
      <c r="F30" s="497">
        <v>1.07</v>
      </c>
    </row>
    <row r="31" spans="1:6" s="451" customFormat="1" ht="11.45" customHeight="1">
      <c r="A31" s="11" t="s">
        <v>406</v>
      </c>
      <c r="B31" s="496"/>
      <c r="C31" s="450"/>
      <c r="D31" s="450"/>
      <c r="E31" s="450"/>
      <c r="F31" s="450"/>
    </row>
    <row r="32" spans="1:6" s="451" customFormat="1" ht="11.1" customHeight="1">
      <c r="A32" s="421" t="s">
        <v>854</v>
      </c>
      <c r="B32" s="496" t="s">
        <v>188</v>
      </c>
      <c r="C32" s="480">
        <v>3.64</v>
      </c>
      <c r="D32" s="480">
        <v>4.76</v>
      </c>
      <c r="E32" s="480">
        <v>4.85</v>
      </c>
      <c r="F32" s="485">
        <v>4.28</v>
      </c>
    </row>
    <row r="33" spans="1:6" s="451" customFormat="1" ht="11.1" customHeight="1">
      <c r="A33" s="11" t="s">
        <v>395</v>
      </c>
      <c r="B33" s="496"/>
      <c r="C33" s="452"/>
      <c r="D33" s="452"/>
      <c r="E33" s="452"/>
      <c r="F33" s="452"/>
    </row>
    <row r="34" spans="1:6" s="451" customFormat="1" ht="11.1" customHeight="1">
      <c r="A34" s="421" t="s">
        <v>396</v>
      </c>
      <c r="B34" s="496" t="s">
        <v>188</v>
      </c>
      <c r="C34" s="480">
        <v>8.24</v>
      </c>
      <c r="D34" s="480">
        <v>10.9</v>
      </c>
      <c r="E34" s="480">
        <v>10.92</v>
      </c>
      <c r="F34" s="485">
        <v>10.79</v>
      </c>
    </row>
    <row r="35" spans="1:6" s="451" customFormat="1" ht="12" customHeight="1">
      <c r="A35" s="11" t="s">
        <v>397</v>
      </c>
      <c r="B35" s="496"/>
      <c r="C35" s="452"/>
      <c r="D35" s="452"/>
      <c r="E35" s="452"/>
      <c r="F35" s="452"/>
    </row>
    <row r="36" spans="1:6" s="451" customFormat="1" ht="11.1" customHeight="1">
      <c r="A36" s="421" t="s">
        <v>855</v>
      </c>
      <c r="B36" s="496" t="s">
        <v>188</v>
      </c>
      <c r="C36" s="480">
        <v>3.16</v>
      </c>
      <c r="D36" s="480">
        <v>4.21</v>
      </c>
      <c r="E36" s="480">
        <v>4.16</v>
      </c>
      <c r="F36" s="485">
        <v>4.5</v>
      </c>
    </row>
    <row r="37" spans="1:6" s="451" customFormat="1" ht="11.1" customHeight="1">
      <c r="A37" s="11" t="s">
        <v>409</v>
      </c>
      <c r="B37" s="496"/>
      <c r="C37" s="452"/>
      <c r="D37" s="452"/>
      <c r="E37" s="452"/>
      <c r="F37" s="452"/>
    </row>
    <row r="38" spans="1:6" s="451" customFormat="1" ht="11.1" customHeight="1">
      <c r="A38" s="421" t="s">
        <v>407</v>
      </c>
      <c r="B38" s="496" t="s">
        <v>188</v>
      </c>
      <c r="C38" s="480">
        <v>0.93</v>
      </c>
      <c r="D38" s="480">
        <v>1.29</v>
      </c>
      <c r="E38" s="480">
        <v>1.29</v>
      </c>
      <c r="F38" s="485">
        <v>1.26</v>
      </c>
    </row>
    <row r="39" spans="1:6" s="451" customFormat="1" ht="12" customHeight="1">
      <c r="A39" s="11" t="s">
        <v>408</v>
      </c>
      <c r="B39" s="496"/>
      <c r="C39" s="452"/>
      <c r="D39" s="452"/>
      <c r="E39" s="452"/>
      <c r="F39" s="452"/>
    </row>
    <row r="40" spans="1:6" s="503" customFormat="1" ht="11.1" customHeight="1">
      <c r="A40" s="421" t="s">
        <v>394</v>
      </c>
      <c r="B40" s="500" t="s">
        <v>188</v>
      </c>
      <c r="C40" s="501">
        <v>0.24</v>
      </c>
      <c r="D40" s="501">
        <v>0.32</v>
      </c>
      <c r="E40" s="501">
        <v>0.32</v>
      </c>
      <c r="F40" s="502">
        <v>0.32</v>
      </c>
    </row>
    <row r="41" spans="1:6" s="451" customFormat="1" ht="11.45" customHeight="1">
      <c r="A41" s="11" t="s">
        <v>192</v>
      </c>
      <c r="B41" s="496"/>
      <c r="C41" s="473"/>
      <c r="D41" s="473"/>
      <c r="E41" s="473"/>
      <c r="F41" s="473"/>
    </row>
    <row r="42" spans="1:6" s="451" customFormat="1" ht="11.1" customHeight="1">
      <c r="A42" s="421" t="s">
        <v>195</v>
      </c>
      <c r="B42" s="496" t="s">
        <v>190</v>
      </c>
      <c r="C42" s="501">
        <v>5.16</v>
      </c>
      <c r="D42" s="501">
        <v>5.29</v>
      </c>
      <c r="E42" s="501">
        <v>5.38</v>
      </c>
      <c r="F42" s="502">
        <v>4.83</v>
      </c>
    </row>
    <row r="43" spans="1:6" s="451" customFormat="1" ht="11.45" customHeight="1">
      <c r="A43" s="11" t="s">
        <v>193</v>
      </c>
      <c r="B43" s="496"/>
      <c r="C43" s="453"/>
      <c r="D43" s="453"/>
      <c r="E43" s="453"/>
      <c r="F43" s="453"/>
    </row>
    <row r="44" spans="1:6" s="451" customFormat="1" ht="11.1" customHeight="1">
      <c r="A44" s="421" t="s">
        <v>393</v>
      </c>
      <c r="B44" s="496" t="s">
        <v>190</v>
      </c>
      <c r="C44" s="501">
        <v>0.97</v>
      </c>
      <c r="D44" s="501">
        <v>0.77</v>
      </c>
      <c r="E44" s="501">
        <v>0.78</v>
      </c>
      <c r="F44" s="502">
        <v>0.7</v>
      </c>
    </row>
    <row r="45" spans="1:6" s="451" customFormat="1" ht="11.45" customHeight="1">
      <c r="A45" s="11" t="s">
        <v>194</v>
      </c>
      <c r="B45" s="496"/>
      <c r="C45" s="452"/>
      <c r="D45" s="452"/>
      <c r="E45" s="452"/>
      <c r="F45" s="452"/>
    </row>
    <row r="46" spans="1:5" ht="5.1" customHeight="1">
      <c r="A46" s="684"/>
      <c r="B46" s="684"/>
      <c r="C46" s="684"/>
      <c r="D46" s="684"/>
      <c r="E46" s="684"/>
    </row>
    <row r="47" spans="1:6" ht="46.5" customHeight="1">
      <c r="A47" s="609" t="s">
        <v>196</v>
      </c>
      <c r="B47" s="609"/>
      <c r="C47" s="609"/>
      <c r="D47" s="609"/>
      <c r="E47" s="609"/>
      <c r="F47" s="609"/>
    </row>
    <row r="48" spans="1:6" ht="48" customHeight="1">
      <c r="A48" s="608" t="s">
        <v>834</v>
      </c>
      <c r="B48" s="608"/>
      <c r="C48" s="608"/>
      <c r="D48" s="608"/>
      <c r="E48" s="608"/>
      <c r="F48" s="608"/>
    </row>
  </sheetData>
  <mergeCells count="8">
    <mergeCell ref="A1:F1"/>
    <mergeCell ref="A46:E46"/>
    <mergeCell ref="A47:F47"/>
    <mergeCell ref="A48:F48"/>
    <mergeCell ref="A2:F2"/>
    <mergeCell ref="A4:A5"/>
    <mergeCell ref="B4:B5"/>
    <mergeCell ref="C4:F4"/>
  </mergeCells>
  <printOptions/>
  <pageMargins left="0.7874015748031497" right="0.7874015748031497" top="0.984251968503937" bottom="0.984251968503937" header="0.31496062992125984" footer="0.31496062992125984"/>
  <pageSetup fitToHeight="1" fitToWidth="1" horizontalDpi="600" verticalDpi="600" orientation="portrait" paperSize="9" scale="95" r:id="rId1"/>
  <headerFooter>
    <oddFooter>&amp;L&amp;"Arial,Normalny"&amp;10 80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Layout" workbookViewId="0" topLeftCell="A16">
      <selection activeCell="E31" sqref="E31"/>
    </sheetView>
  </sheetViews>
  <sheetFormatPr defaultColWidth="9.140625" defaultRowHeight="15"/>
  <cols>
    <col min="1" max="1" width="34.7109375" style="96" customWidth="1"/>
    <col min="2" max="5" width="12.7109375" style="96" customWidth="1"/>
    <col min="6" max="10" width="6.28125" style="96" customWidth="1"/>
    <col min="11" max="16384" width="9.140625" style="96" customWidth="1"/>
  </cols>
  <sheetData>
    <row r="1" spans="1:5" ht="27.95" customHeight="1">
      <c r="A1" s="653" t="s">
        <v>856</v>
      </c>
      <c r="B1" s="653"/>
      <c r="C1" s="653"/>
      <c r="D1" s="653"/>
      <c r="E1" s="653"/>
    </row>
    <row r="2" spans="1:5" ht="27.95" customHeight="1">
      <c r="A2" s="579" t="s">
        <v>857</v>
      </c>
      <c r="B2" s="579"/>
      <c r="C2" s="579"/>
      <c r="D2" s="579"/>
      <c r="E2" s="579"/>
    </row>
    <row r="3" spans="1:5" ht="9.95" customHeight="1">
      <c r="A3" s="97"/>
      <c r="B3" s="97"/>
      <c r="C3" s="97"/>
      <c r="D3" s="97"/>
      <c r="E3" s="97"/>
    </row>
    <row r="4" spans="1:5" ht="23.1" customHeight="1">
      <c r="A4" s="625" t="s">
        <v>602</v>
      </c>
      <c r="B4" s="639" t="s">
        <v>796</v>
      </c>
      <c r="C4" s="640"/>
      <c r="D4" s="640"/>
      <c r="E4" s="640"/>
    </row>
    <row r="5" spans="1:5" ht="69.95" customHeight="1">
      <c r="A5" s="685"/>
      <c r="B5" s="411" t="s">
        <v>839</v>
      </c>
      <c r="C5" s="411" t="s">
        <v>798</v>
      </c>
      <c r="D5" s="411" t="s">
        <v>799</v>
      </c>
      <c r="E5" s="412" t="s">
        <v>800</v>
      </c>
    </row>
    <row r="6" spans="1:5" ht="12.75" customHeight="1" hidden="1">
      <c r="A6" s="413"/>
      <c r="B6" s="238"/>
      <c r="C6" s="239"/>
      <c r="D6" s="239"/>
      <c r="E6" s="240"/>
    </row>
    <row r="7" spans="1:5" s="474" customFormat="1" ht="23.1" customHeight="1">
      <c r="A7" s="505"/>
      <c r="B7" s="688" t="s">
        <v>858</v>
      </c>
      <c r="C7" s="689"/>
      <c r="D7" s="689"/>
      <c r="E7" s="689"/>
    </row>
    <row r="8" spans="1:7" s="418" customFormat="1" ht="11.45" customHeight="1">
      <c r="A8" s="506" t="s">
        <v>411</v>
      </c>
      <c r="B8" s="507">
        <v>95.2</v>
      </c>
      <c r="C8" s="507">
        <v>97.4</v>
      </c>
      <c r="D8" s="507">
        <v>97.5</v>
      </c>
      <c r="E8" s="508">
        <v>96.9</v>
      </c>
      <c r="F8" s="509"/>
      <c r="G8" s="509"/>
    </row>
    <row r="9" spans="1:7" s="418" customFormat="1" ht="11.45" customHeight="1">
      <c r="A9" s="510" t="s">
        <v>167</v>
      </c>
      <c r="B9" s="511"/>
      <c r="C9" s="511"/>
      <c r="D9" s="511"/>
      <c r="E9" s="512"/>
      <c r="F9" s="509"/>
      <c r="G9" s="509"/>
    </row>
    <row r="10" spans="1:7" s="418" customFormat="1" ht="11.45" customHeight="1">
      <c r="A10" s="432" t="s">
        <v>412</v>
      </c>
      <c r="B10" s="423"/>
      <c r="C10" s="423"/>
      <c r="D10" s="423"/>
      <c r="E10" s="424"/>
      <c r="F10" s="509"/>
      <c r="G10" s="509"/>
    </row>
    <row r="11" spans="1:7" s="418" customFormat="1" ht="11.45" customHeight="1">
      <c r="A11" s="421" t="s">
        <v>413</v>
      </c>
      <c r="B11" s="513">
        <v>60.6</v>
      </c>
      <c r="C11" s="513">
        <v>55.1</v>
      </c>
      <c r="D11" s="514">
        <v>56.2</v>
      </c>
      <c r="E11" s="515">
        <v>49.6</v>
      </c>
      <c r="F11" s="509"/>
      <c r="G11" s="509"/>
    </row>
    <row r="12" spans="1:7" s="418" customFormat="1" ht="11.45" customHeight="1">
      <c r="A12" s="422" t="s">
        <v>168</v>
      </c>
      <c r="B12" s="424"/>
      <c r="C12" s="423"/>
      <c r="D12" s="423"/>
      <c r="E12" s="424"/>
      <c r="F12" s="509"/>
      <c r="G12" s="509"/>
    </row>
    <row r="13" spans="1:7" s="418" customFormat="1" ht="11.45" customHeight="1">
      <c r="A13" s="421" t="s">
        <v>416</v>
      </c>
      <c r="B13" s="513">
        <v>10.8</v>
      </c>
      <c r="C13" s="513">
        <v>3.7</v>
      </c>
      <c r="D13" s="514">
        <v>3.9</v>
      </c>
      <c r="E13" s="515">
        <v>3.1</v>
      </c>
      <c r="F13" s="509"/>
      <c r="G13" s="509"/>
    </row>
    <row r="14" spans="1:7" s="418" customFormat="1" ht="11.45" customHeight="1">
      <c r="A14" s="422" t="s">
        <v>169</v>
      </c>
      <c r="B14" s="424"/>
      <c r="C14" s="423"/>
      <c r="D14" s="423"/>
      <c r="E14" s="424"/>
      <c r="F14" s="509"/>
      <c r="G14" s="509"/>
    </row>
    <row r="15" spans="1:7" s="418" customFormat="1" ht="11.45" customHeight="1">
      <c r="A15" s="516" t="s">
        <v>568</v>
      </c>
      <c r="B15" s="424"/>
      <c r="C15" s="423"/>
      <c r="D15" s="423"/>
      <c r="E15" s="424"/>
      <c r="F15" s="509"/>
      <c r="G15" s="509"/>
    </row>
    <row r="16" spans="1:7" s="418" customFormat="1" ht="11.45" customHeight="1">
      <c r="A16" s="421" t="s">
        <v>569</v>
      </c>
      <c r="B16" s="517">
        <v>69</v>
      </c>
      <c r="C16" s="518">
        <v>74</v>
      </c>
      <c r="D16" s="519">
        <v>74.5</v>
      </c>
      <c r="E16" s="517">
        <v>71.1</v>
      </c>
      <c r="F16" s="509"/>
      <c r="G16" s="509"/>
    </row>
    <row r="17" spans="1:7" s="433" customFormat="1" ht="24.95" customHeight="1">
      <c r="A17" s="520" t="s">
        <v>414</v>
      </c>
      <c r="B17" s="448"/>
      <c r="C17" s="447"/>
      <c r="D17" s="447"/>
      <c r="E17" s="448"/>
      <c r="F17" s="521"/>
      <c r="G17" s="521"/>
    </row>
    <row r="18" spans="1:7" s="433" customFormat="1" ht="11.45" customHeight="1">
      <c r="A18" s="421" t="s">
        <v>415</v>
      </c>
      <c r="B18" s="513">
        <v>26.3</v>
      </c>
      <c r="C18" s="513">
        <v>18.9</v>
      </c>
      <c r="D18" s="514">
        <v>19.7</v>
      </c>
      <c r="E18" s="515">
        <v>15.2</v>
      </c>
      <c r="F18" s="521"/>
      <c r="G18" s="521"/>
    </row>
    <row r="19" spans="1:7" s="433" customFormat="1" ht="11.45" customHeight="1">
      <c r="A19" s="520" t="s">
        <v>173</v>
      </c>
      <c r="B19" s="448"/>
      <c r="C19" s="447"/>
      <c r="D19" s="447"/>
      <c r="E19" s="448"/>
      <c r="F19" s="521"/>
      <c r="G19" s="521"/>
    </row>
    <row r="20" spans="1:7" s="418" customFormat="1" ht="11.45" customHeight="1">
      <c r="A20" s="421" t="s">
        <v>417</v>
      </c>
      <c r="B20" s="513">
        <v>7</v>
      </c>
      <c r="C20" s="513">
        <v>3.1</v>
      </c>
      <c r="D20" s="514">
        <v>3.2</v>
      </c>
      <c r="E20" s="515">
        <v>2.1</v>
      </c>
      <c r="F20" s="509"/>
      <c r="G20" s="509"/>
    </row>
    <row r="21" spans="1:7" s="418" customFormat="1" ht="11.45" customHeight="1">
      <c r="A21" s="196" t="s">
        <v>170</v>
      </c>
      <c r="B21" s="424"/>
      <c r="C21" s="423"/>
      <c r="D21" s="423"/>
      <c r="E21" s="424"/>
      <c r="F21" s="509"/>
      <c r="G21" s="509"/>
    </row>
    <row r="22" spans="1:7" s="418" customFormat="1" ht="11.45" customHeight="1">
      <c r="A22" s="421" t="s">
        <v>418</v>
      </c>
      <c r="B22" s="513">
        <v>40.1</v>
      </c>
      <c r="C22" s="513">
        <v>20.8</v>
      </c>
      <c r="D22" s="514">
        <v>22.1</v>
      </c>
      <c r="E22" s="515">
        <v>14.1</v>
      </c>
      <c r="F22" s="509"/>
      <c r="G22" s="509"/>
    </row>
    <row r="23" spans="1:7" s="418" customFormat="1" ht="11.45" customHeight="1">
      <c r="A23" s="196" t="s">
        <v>171</v>
      </c>
      <c r="B23" s="424"/>
      <c r="C23" s="423"/>
      <c r="D23" s="423"/>
      <c r="E23" s="424"/>
      <c r="F23" s="509"/>
      <c r="G23" s="509"/>
    </row>
    <row r="24" spans="1:7" s="418" customFormat="1" ht="11.45" customHeight="1">
      <c r="A24" s="421" t="s">
        <v>419</v>
      </c>
      <c r="B24" s="513">
        <v>75.9</v>
      </c>
      <c r="C24" s="513">
        <v>46.7</v>
      </c>
      <c r="D24" s="514">
        <v>47.7</v>
      </c>
      <c r="E24" s="515">
        <v>42</v>
      </c>
      <c r="F24" s="509"/>
      <c r="G24" s="509"/>
    </row>
    <row r="25" spans="1:7" s="418" customFormat="1" ht="11.45" customHeight="1">
      <c r="A25" s="196" t="s">
        <v>172</v>
      </c>
      <c r="B25" s="423"/>
      <c r="C25" s="423"/>
      <c r="D25" s="423"/>
      <c r="E25" s="424"/>
      <c r="F25" s="509"/>
      <c r="G25" s="509"/>
    </row>
    <row r="26" spans="1:7" s="418" customFormat="1" ht="11.45" customHeight="1">
      <c r="A26" s="421" t="s">
        <v>420</v>
      </c>
      <c r="B26" s="522">
        <v>74.8</v>
      </c>
      <c r="C26" s="522">
        <v>45.4</v>
      </c>
      <c r="D26" s="522">
        <v>46.4</v>
      </c>
      <c r="E26" s="523">
        <v>40.2</v>
      </c>
      <c r="F26" s="509"/>
      <c r="G26" s="509"/>
    </row>
    <row r="27" spans="1:7" ht="21" customHeight="1">
      <c r="A27" s="196" t="s">
        <v>174</v>
      </c>
      <c r="B27" s="453"/>
      <c r="C27" s="453"/>
      <c r="D27" s="453"/>
      <c r="E27" s="453"/>
      <c r="F27" s="524"/>
      <c r="G27" s="524"/>
    </row>
    <row r="28" spans="1:7" ht="11.45" customHeight="1">
      <c r="A28" s="421" t="s">
        <v>421</v>
      </c>
      <c r="B28" s="519">
        <v>1.7</v>
      </c>
      <c r="C28" s="519">
        <v>1.5</v>
      </c>
      <c r="D28" s="519">
        <v>1.4</v>
      </c>
      <c r="E28" s="517">
        <v>2</v>
      </c>
      <c r="F28" s="524"/>
      <c r="G28" s="524"/>
    </row>
    <row r="29" spans="1:7" ht="24" customHeight="1">
      <c r="A29" s="196" t="s">
        <v>175</v>
      </c>
      <c r="B29" s="453"/>
      <c r="C29" s="453"/>
      <c r="D29" s="453"/>
      <c r="E29" s="453"/>
      <c r="F29" s="524"/>
      <c r="G29" s="524"/>
    </row>
    <row r="30" spans="1:7" ht="11.45" customHeight="1">
      <c r="A30" s="421" t="s">
        <v>571</v>
      </c>
      <c r="B30" s="517">
        <v>31.1</v>
      </c>
      <c r="C30" s="518">
        <v>13.2</v>
      </c>
      <c r="D30" s="519">
        <v>14</v>
      </c>
      <c r="E30" s="517">
        <v>9.3</v>
      </c>
      <c r="F30" s="524"/>
      <c r="G30" s="524"/>
    </row>
    <row r="31" spans="1:7" ht="11.45" customHeight="1">
      <c r="A31" s="196" t="s">
        <v>176</v>
      </c>
      <c r="B31" s="453"/>
      <c r="C31" s="453"/>
      <c r="D31" s="453"/>
      <c r="E31" s="453"/>
      <c r="F31" s="524"/>
      <c r="G31" s="524"/>
    </row>
    <row r="32" spans="1:7" ht="11.45" customHeight="1">
      <c r="A32" s="421" t="s">
        <v>422</v>
      </c>
      <c r="B32" s="513">
        <v>96.2</v>
      </c>
      <c r="C32" s="513">
        <v>90.2</v>
      </c>
      <c r="D32" s="514">
        <v>90.4</v>
      </c>
      <c r="E32" s="515">
        <v>89.2</v>
      </c>
      <c r="F32" s="524"/>
      <c r="G32" s="524"/>
    </row>
    <row r="33" spans="1:7" ht="11.45" customHeight="1">
      <c r="A33" s="196" t="s">
        <v>177</v>
      </c>
      <c r="B33" s="453"/>
      <c r="C33" s="453"/>
      <c r="D33" s="453"/>
      <c r="E33" s="453"/>
      <c r="F33" s="524"/>
      <c r="G33" s="524"/>
    </row>
    <row r="34" spans="1:7" ht="11.45" customHeight="1">
      <c r="A34" s="421" t="s">
        <v>423</v>
      </c>
      <c r="B34" s="513">
        <v>96.3</v>
      </c>
      <c r="C34" s="513">
        <v>93.8</v>
      </c>
      <c r="D34" s="514">
        <v>94.3</v>
      </c>
      <c r="E34" s="515">
        <v>91.5</v>
      </c>
      <c r="F34" s="524"/>
      <c r="G34" s="524"/>
    </row>
    <row r="35" spans="1:7" ht="11.45" customHeight="1">
      <c r="A35" s="196" t="s">
        <v>183</v>
      </c>
      <c r="B35" s="453"/>
      <c r="C35" s="453"/>
      <c r="D35" s="453"/>
      <c r="E35" s="453"/>
      <c r="F35" s="524"/>
      <c r="G35" s="524"/>
    </row>
    <row r="36" spans="1:7" ht="11.45" customHeight="1">
      <c r="A36" s="421" t="s">
        <v>424</v>
      </c>
      <c r="B36" s="513">
        <v>94.1</v>
      </c>
      <c r="C36" s="513">
        <v>94.3</v>
      </c>
      <c r="D36" s="514">
        <v>95.1</v>
      </c>
      <c r="E36" s="515">
        <v>90.1</v>
      </c>
      <c r="F36" s="524"/>
      <c r="G36" s="524"/>
    </row>
    <row r="37" spans="1:7" ht="11.45" customHeight="1">
      <c r="A37" s="196" t="s">
        <v>178</v>
      </c>
      <c r="B37" s="453"/>
      <c r="C37" s="453"/>
      <c r="D37" s="453"/>
      <c r="E37" s="453"/>
      <c r="F37" s="524"/>
      <c r="G37" s="524"/>
    </row>
    <row r="38" spans="1:7" ht="11.1" customHeight="1">
      <c r="A38" s="257" t="s">
        <v>430</v>
      </c>
      <c r="B38" s="453"/>
      <c r="C38" s="453"/>
      <c r="D38" s="453"/>
      <c r="E38" s="453"/>
      <c r="F38" s="524"/>
      <c r="G38" s="524"/>
    </row>
    <row r="39" spans="1:7" ht="11.1" customHeight="1">
      <c r="A39" s="421" t="s">
        <v>431</v>
      </c>
      <c r="B39" s="525">
        <v>98.8</v>
      </c>
      <c r="C39" s="526">
        <v>98.8</v>
      </c>
      <c r="D39" s="527">
        <v>98.9</v>
      </c>
      <c r="E39" s="525">
        <v>98.3</v>
      </c>
      <c r="F39" s="524"/>
      <c r="G39" s="524"/>
    </row>
    <row r="40" spans="1:7" ht="11.45" customHeight="1">
      <c r="A40" s="196" t="s">
        <v>184</v>
      </c>
      <c r="B40" s="453"/>
      <c r="C40" s="453"/>
      <c r="D40" s="453"/>
      <c r="E40" s="453"/>
      <c r="F40" s="524"/>
      <c r="G40" s="524"/>
    </row>
    <row r="41" spans="1:7" ht="11.45" customHeight="1">
      <c r="A41" s="421" t="s">
        <v>425</v>
      </c>
      <c r="B41" s="513">
        <v>58.7</v>
      </c>
      <c r="C41" s="513">
        <v>43.8</v>
      </c>
      <c r="D41" s="514">
        <v>44.4</v>
      </c>
      <c r="E41" s="515">
        <v>41.1</v>
      </c>
      <c r="F41" s="524"/>
      <c r="G41" s="524"/>
    </row>
    <row r="42" spans="1:7" ht="11.45" customHeight="1">
      <c r="A42" s="196" t="s">
        <v>179</v>
      </c>
      <c r="B42" s="453"/>
      <c r="C42" s="453"/>
      <c r="D42" s="453"/>
      <c r="E42" s="453"/>
      <c r="F42" s="524"/>
      <c r="G42" s="524"/>
    </row>
    <row r="43" spans="1:7" ht="11.45" customHeight="1">
      <c r="A43" s="421" t="s">
        <v>426</v>
      </c>
      <c r="B43" s="513">
        <v>58.1</v>
      </c>
      <c r="C43" s="513">
        <v>49.6</v>
      </c>
      <c r="D43" s="514">
        <v>50.8</v>
      </c>
      <c r="E43" s="515">
        <v>44</v>
      </c>
      <c r="F43" s="524"/>
      <c r="G43" s="524"/>
    </row>
    <row r="44" spans="1:7" ht="11.45" customHeight="1">
      <c r="A44" s="196" t="s">
        <v>185</v>
      </c>
      <c r="B44" s="453"/>
      <c r="C44" s="453"/>
      <c r="D44" s="453"/>
      <c r="E44" s="453"/>
      <c r="F44" s="524"/>
      <c r="G44" s="524"/>
    </row>
    <row r="45" spans="1:7" ht="11.45" customHeight="1">
      <c r="A45" s="421" t="s">
        <v>427</v>
      </c>
      <c r="B45" s="513">
        <v>31.8</v>
      </c>
      <c r="C45" s="513">
        <v>16.6</v>
      </c>
      <c r="D45" s="514">
        <v>17.7</v>
      </c>
      <c r="E45" s="515">
        <v>11.2</v>
      </c>
      <c r="F45" s="524"/>
      <c r="G45" s="524"/>
    </row>
    <row r="46" spans="1:7" ht="11.45" customHeight="1">
      <c r="A46" s="196" t="s">
        <v>180</v>
      </c>
      <c r="B46" s="453"/>
      <c r="C46" s="453"/>
      <c r="D46" s="453"/>
      <c r="E46" s="453"/>
      <c r="F46" s="524"/>
      <c r="G46" s="524"/>
    </row>
    <row r="47" spans="1:7" ht="11.45" customHeight="1">
      <c r="A47" s="421" t="s">
        <v>428</v>
      </c>
      <c r="B47" s="513">
        <v>60.7</v>
      </c>
      <c r="C47" s="513">
        <v>46</v>
      </c>
      <c r="D47" s="514">
        <v>46</v>
      </c>
      <c r="E47" s="515">
        <v>45.9</v>
      </c>
      <c r="F47" s="524"/>
      <c r="G47" s="524"/>
    </row>
    <row r="48" spans="1:7" ht="11.45" customHeight="1">
      <c r="A48" s="196" t="s">
        <v>181</v>
      </c>
      <c r="B48" s="453"/>
      <c r="C48" s="453"/>
      <c r="D48" s="453"/>
      <c r="E48" s="453"/>
      <c r="F48" s="524"/>
      <c r="G48" s="524"/>
    </row>
    <row r="49" spans="1:7" ht="11.45" customHeight="1">
      <c r="A49" s="421" t="s">
        <v>570</v>
      </c>
      <c r="B49" s="528">
        <v>5.9</v>
      </c>
      <c r="C49" s="528">
        <v>2.5</v>
      </c>
      <c r="D49" s="528">
        <v>2.5</v>
      </c>
      <c r="E49" s="529">
        <v>2.6</v>
      </c>
      <c r="F49" s="524"/>
      <c r="G49" s="524"/>
    </row>
    <row r="50" spans="1:7" ht="11.45" customHeight="1">
      <c r="A50" s="196" t="s">
        <v>572</v>
      </c>
      <c r="B50" s="528"/>
      <c r="C50" s="528"/>
      <c r="D50" s="528"/>
      <c r="E50" s="529"/>
      <c r="F50" s="524"/>
      <c r="G50" s="524"/>
    </row>
    <row r="51" spans="1:7" ht="11.45" customHeight="1">
      <c r="A51" s="421" t="s">
        <v>429</v>
      </c>
      <c r="B51" s="513">
        <v>65</v>
      </c>
      <c r="C51" s="513">
        <v>40.7</v>
      </c>
      <c r="D51" s="514">
        <v>43.7</v>
      </c>
      <c r="E51" s="515">
        <v>26</v>
      </c>
      <c r="F51" s="524"/>
      <c r="G51" s="524"/>
    </row>
    <row r="52" spans="1:7" ht="11.45" customHeight="1">
      <c r="A52" s="196" t="s">
        <v>182</v>
      </c>
      <c r="B52" s="453"/>
      <c r="C52" s="453"/>
      <c r="D52" s="453"/>
      <c r="E52" s="453"/>
      <c r="F52" s="524"/>
      <c r="G52" s="524"/>
    </row>
    <row r="53" spans="1:4" ht="15">
      <c r="A53" s="690" t="s">
        <v>187</v>
      </c>
      <c r="B53" s="690"/>
      <c r="C53" s="690"/>
      <c r="D53" s="690"/>
    </row>
    <row r="54" spans="1:4" ht="15">
      <c r="A54" s="691" t="s">
        <v>186</v>
      </c>
      <c r="B54" s="691"/>
      <c r="C54" s="691"/>
      <c r="D54" s="691"/>
    </row>
  </sheetData>
  <mergeCells count="7">
    <mergeCell ref="B7:E7"/>
    <mergeCell ref="A53:D53"/>
    <mergeCell ref="A54:D54"/>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6" r:id="rId1"/>
  <headerFooter>
    <oddFooter>&amp;R&amp;"Arial,Normalny"&amp;10 81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Layout" workbookViewId="0" topLeftCell="A1">
      <selection activeCell="E31" sqref="E31"/>
    </sheetView>
  </sheetViews>
  <sheetFormatPr defaultColWidth="9.140625" defaultRowHeight="15"/>
  <cols>
    <col min="1" max="1" width="34.7109375" style="96" customWidth="1"/>
    <col min="2" max="5" width="12.7109375" style="96" customWidth="1"/>
    <col min="6" max="16384" width="9.140625" style="96" customWidth="1"/>
  </cols>
  <sheetData>
    <row r="1" spans="1:5" ht="39.95" customHeight="1">
      <c r="A1" s="584" t="s">
        <v>859</v>
      </c>
      <c r="B1" s="584"/>
      <c r="C1" s="584"/>
      <c r="D1" s="584"/>
      <c r="E1" s="584"/>
    </row>
    <row r="2" spans="1:5" ht="27.95" customHeight="1">
      <c r="A2" s="579" t="s">
        <v>860</v>
      </c>
      <c r="B2" s="579"/>
      <c r="C2" s="579"/>
      <c r="D2" s="579"/>
      <c r="E2" s="579"/>
    </row>
    <row r="3" spans="1:5" ht="9.95" customHeight="1">
      <c r="A3" s="97"/>
      <c r="B3" s="97"/>
      <c r="C3" s="97"/>
      <c r="D3" s="97"/>
      <c r="E3" s="97"/>
    </row>
    <row r="4" spans="1:5" ht="23.1" customHeight="1">
      <c r="A4" s="625" t="s">
        <v>602</v>
      </c>
      <c r="B4" s="639" t="s">
        <v>796</v>
      </c>
      <c r="C4" s="640"/>
      <c r="D4" s="640"/>
      <c r="E4" s="640"/>
    </row>
    <row r="5" spans="1:5" ht="69.95" customHeight="1">
      <c r="A5" s="685"/>
      <c r="B5" s="411" t="s">
        <v>839</v>
      </c>
      <c r="C5" s="411" t="s">
        <v>798</v>
      </c>
      <c r="D5" s="411" t="s">
        <v>799</v>
      </c>
      <c r="E5" s="412" t="s">
        <v>800</v>
      </c>
    </row>
    <row r="6" spans="1:5" ht="12.75" customHeight="1" hidden="1">
      <c r="A6" s="413"/>
      <c r="B6" s="238"/>
      <c r="C6" s="239"/>
      <c r="D6" s="239"/>
      <c r="E6" s="240"/>
    </row>
    <row r="7" spans="1:5" ht="3" customHeight="1">
      <c r="A7" s="476"/>
      <c r="B7" s="688"/>
      <c r="C7" s="689"/>
      <c r="D7" s="689"/>
      <c r="E7" s="689"/>
    </row>
    <row r="8" spans="1:5" s="418" customFormat="1" ht="11.45" customHeight="1">
      <c r="A8" s="506" t="s">
        <v>411</v>
      </c>
      <c r="B8" s="423">
        <v>98.8</v>
      </c>
      <c r="C8" s="423">
        <v>99.2</v>
      </c>
      <c r="D8" s="423">
        <v>99.1</v>
      </c>
      <c r="E8" s="424">
        <v>99.3</v>
      </c>
    </row>
    <row r="9" spans="1:5" s="418" customFormat="1" ht="11.45" customHeight="1">
      <c r="A9" s="510" t="s">
        <v>167</v>
      </c>
      <c r="B9" s="423"/>
      <c r="C9" s="423"/>
      <c r="D9" s="423"/>
      <c r="E9" s="424"/>
    </row>
    <row r="10" spans="1:5" s="418" customFormat="1" ht="11.45" customHeight="1">
      <c r="A10" s="432" t="s">
        <v>412</v>
      </c>
      <c r="B10" s="423"/>
      <c r="C10" s="423"/>
      <c r="D10" s="423"/>
      <c r="E10" s="424"/>
    </row>
    <row r="11" spans="1:5" s="418" customFormat="1" ht="11.45" customHeight="1">
      <c r="A11" s="421" t="s">
        <v>413</v>
      </c>
      <c r="B11" s="513">
        <f>60.6/62.2*100</f>
        <v>97.42765273311896</v>
      </c>
      <c r="C11" s="513">
        <f>55.1/57*100</f>
        <v>96.66666666666667</v>
      </c>
      <c r="D11" s="514">
        <f>56.2/58.3*100</f>
        <v>96.39794168096057</v>
      </c>
      <c r="E11" s="515">
        <f>49.6/51.1*100</f>
        <v>97.06457925636008</v>
      </c>
    </row>
    <row r="12" spans="1:5" s="418" customFormat="1" ht="11.45" customHeight="1">
      <c r="A12" s="422" t="s">
        <v>168</v>
      </c>
      <c r="B12" s="424"/>
      <c r="C12" s="423"/>
      <c r="D12" s="423"/>
      <c r="E12" s="424"/>
    </row>
    <row r="13" spans="1:5" s="418" customFormat="1" ht="11.45" customHeight="1">
      <c r="A13" s="421" t="s">
        <v>416</v>
      </c>
      <c r="B13" s="513">
        <f>10.8/11.7*100</f>
        <v>92.30769230769232</v>
      </c>
      <c r="C13" s="513">
        <f>3.7/4.3*100</f>
        <v>86.04651162790698</v>
      </c>
      <c r="D13" s="514">
        <f>3.9/4.3*100</f>
        <v>90.69767441860466</v>
      </c>
      <c r="E13" s="515">
        <f>3.1/4.4*100</f>
        <v>70.45454545454545</v>
      </c>
    </row>
    <row r="14" spans="1:5" s="418" customFormat="1" ht="11.45" customHeight="1">
      <c r="A14" s="422" t="s">
        <v>169</v>
      </c>
      <c r="B14" s="424"/>
      <c r="C14" s="423"/>
      <c r="D14" s="423"/>
      <c r="E14" s="424"/>
    </row>
    <row r="15" spans="1:5" s="418" customFormat="1" ht="11.45" customHeight="1">
      <c r="A15" s="516" t="s">
        <v>568</v>
      </c>
      <c r="B15" s="424"/>
      <c r="C15" s="423"/>
      <c r="D15" s="423"/>
      <c r="E15" s="424"/>
    </row>
    <row r="16" spans="1:5" s="433" customFormat="1" ht="11.45" customHeight="1">
      <c r="A16" s="421" t="s">
        <v>569</v>
      </c>
      <c r="B16" s="517">
        <f>69/71.3*100</f>
        <v>96.7741935483871</v>
      </c>
      <c r="C16" s="518">
        <f>74/75.1*100</f>
        <v>98.5352862849534</v>
      </c>
      <c r="D16" s="519">
        <f>74.5/75.8*100</f>
        <v>98.28496042216359</v>
      </c>
      <c r="E16" s="517">
        <f>71.1/72.1*100</f>
        <v>98.6130374479889</v>
      </c>
    </row>
    <row r="17" spans="1:5" s="433" customFormat="1" ht="23.25" customHeight="1">
      <c r="A17" s="520" t="s">
        <v>414</v>
      </c>
      <c r="B17" s="448"/>
      <c r="C17" s="447"/>
      <c r="D17" s="447"/>
      <c r="E17" s="448"/>
    </row>
    <row r="18" spans="1:5" s="433" customFormat="1" ht="11.45" customHeight="1">
      <c r="A18" s="421" t="s">
        <v>415</v>
      </c>
      <c r="B18" s="513">
        <f>26.3/31.4*100</f>
        <v>83.7579617834395</v>
      </c>
      <c r="C18" s="513">
        <f>18.9/21.4*100</f>
        <v>88.3177570093458</v>
      </c>
      <c r="D18" s="514">
        <f>19.7/21.8*100</f>
        <v>90.36697247706421</v>
      </c>
      <c r="E18" s="515">
        <f>15.2/19.4*100</f>
        <v>78.35051546391753</v>
      </c>
    </row>
    <row r="19" spans="1:5" s="433" customFormat="1" ht="11.45" customHeight="1">
      <c r="A19" s="520" t="s">
        <v>173</v>
      </c>
      <c r="B19" s="448"/>
      <c r="C19" s="447"/>
      <c r="D19" s="447"/>
      <c r="E19" s="448"/>
    </row>
    <row r="20" spans="1:5" s="418" customFormat="1" ht="11.45" customHeight="1">
      <c r="A20" s="421" t="s">
        <v>417</v>
      </c>
      <c r="B20" s="513">
        <f>7/7.9*100</f>
        <v>88.60759493670885</v>
      </c>
      <c r="C20" s="513">
        <f>3.1/3.3*100</f>
        <v>93.93939393939394</v>
      </c>
      <c r="D20" s="514">
        <f>3.2/3.6*100</f>
        <v>88.8888888888889</v>
      </c>
      <c r="E20" s="515">
        <f>2.1/2.4*100</f>
        <v>87.50000000000001</v>
      </c>
    </row>
    <row r="21" spans="1:5" s="418" customFormat="1" ht="11.45" customHeight="1">
      <c r="A21" s="196" t="s">
        <v>170</v>
      </c>
      <c r="B21" s="424"/>
      <c r="C21" s="423"/>
      <c r="D21" s="423"/>
      <c r="E21" s="424"/>
    </row>
    <row r="22" spans="1:5" s="418" customFormat="1" ht="12" customHeight="1">
      <c r="A22" s="421" t="s">
        <v>418</v>
      </c>
      <c r="B22" s="513">
        <f>40.1/44.6*100</f>
        <v>89.91031390134529</v>
      </c>
      <c r="C22" s="513">
        <f>20.8/23.1*100</f>
        <v>90.04329004329004</v>
      </c>
      <c r="D22" s="514">
        <f>22.1/24.2*100</f>
        <v>91.32231404958678</v>
      </c>
      <c r="E22" s="515">
        <f>14.1/18.1*100</f>
        <v>77.90055248618783</v>
      </c>
    </row>
    <row r="23" spans="1:5" s="418" customFormat="1" ht="12" customHeight="1">
      <c r="A23" s="196" t="s">
        <v>171</v>
      </c>
      <c r="B23" s="424"/>
      <c r="C23" s="423"/>
      <c r="D23" s="423"/>
      <c r="E23" s="424"/>
    </row>
    <row r="24" spans="1:5" s="418" customFormat="1" ht="12" customHeight="1">
      <c r="A24" s="421" t="s">
        <v>419</v>
      </c>
      <c r="B24" s="513">
        <f>75.9/75.2*100</f>
        <v>100.93085106382979</v>
      </c>
      <c r="C24" s="513">
        <f>46.7/45.2*100</f>
        <v>103.31858407079646</v>
      </c>
      <c r="D24" s="514">
        <f>47.7/45.8*100</f>
        <v>104.14847161572054</v>
      </c>
      <c r="E24" s="515">
        <f>42/42.8*100</f>
        <v>98.13084112149534</v>
      </c>
    </row>
    <row r="25" spans="1:5" s="418" customFormat="1" ht="11.45" customHeight="1">
      <c r="A25" s="196" t="s">
        <v>172</v>
      </c>
      <c r="B25" s="423"/>
      <c r="C25" s="423"/>
      <c r="D25" s="423"/>
      <c r="E25" s="424"/>
    </row>
    <row r="26" spans="1:5" s="418" customFormat="1" ht="12" customHeight="1">
      <c r="A26" s="421" t="s">
        <v>420</v>
      </c>
      <c r="B26" s="522">
        <f>74.8/74*100</f>
        <v>101.08108108108107</v>
      </c>
      <c r="C26" s="522">
        <f>45.4/44*100</f>
        <v>103.18181818181817</v>
      </c>
      <c r="D26" s="522">
        <f>46.4/44.7*100</f>
        <v>103.80313199105144</v>
      </c>
      <c r="E26" s="523">
        <f>40.2/41*100</f>
        <v>98.04878048780489</v>
      </c>
    </row>
    <row r="27" spans="1:5" s="418" customFormat="1" ht="12" customHeight="1">
      <c r="A27" s="196" t="s">
        <v>174</v>
      </c>
      <c r="B27" s="453"/>
      <c r="C27" s="453"/>
      <c r="D27" s="453"/>
      <c r="E27" s="453"/>
    </row>
    <row r="28" spans="1:5" s="418" customFormat="1" ht="12" customHeight="1">
      <c r="A28" s="421" t="s">
        <v>421</v>
      </c>
      <c r="B28" s="519">
        <f>1.7/2*100</f>
        <v>85</v>
      </c>
      <c r="C28" s="519">
        <f>1.5/1.5*100</f>
        <v>100</v>
      </c>
      <c r="D28" s="519">
        <f>1.4/1.3*100</f>
        <v>107.6923076923077</v>
      </c>
      <c r="E28" s="517">
        <f>2/2.1*100</f>
        <v>95.23809523809523</v>
      </c>
    </row>
    <row r="29" spans="1:5" ht="24">
      <c r="A29" s="196" t="s">
        <v>175</v>
      </c>
      <c r="B29" s="453"/>
      <c r="C29" s="453"/>
      <c r="D29" s="453"/>
      <c r="E29" s="453"/>
    </row>
    <row r="30" spans="1:5" ht="12" customHeight="1">
      <c r="A30" s="421" t="s">
        <v>571</v>
      </c>
      <c r="B30" s="517">
        <f>31.1/32*100</f>
        <v>97.1875</v>
      </c>
      <c r="C30" s="518">
        <f>13.2/14*100</f>
        <v>94.28571428571428</v>
      </c>
      <c r="D30" s="519">
        <f>14/14.5*100</f>
        <v>96.55172413793103</v>
      </c>
      <c r="E30" s="517">
        <f>9.3/11.8*100</f>
        <v>78.8135593220339</v>
      </c>
    </row>
    <row r="31" spans="1:5" ht="15">
      <c r="A31" s="196" t="s">
        <v>176</v>
      </c>
      <c r="B31" s="453"/>
      <c r="C31" s="453"/>
      <c r="D31" s="453"/>
      <c r="E31" s="453"/>
    </row>
    <row r="32" spans="1:6" ht="11.45" customHeight="1">
      <c r="A32" s="421" t="s">
        <v>422</v>
      </c>
      <c r="B32" s="513">
        <f>96.2/95.7*100</f>
        <v>100.52246603970742</v>
      </c>
      <c r="C32" s="513">
        <f>90.2/89*100</f>
        <v>101.34831460674158</v>
      </c>
      <c r="D32" s="514">
        <f>90.4/89*100</f>
        <v>101.57303370786516</v>
      </c>
      <c r="E32" s="515">
        <f>89.2/88.6*100</f>
        <v>100.67720090293454</v>
      </c>
      <c r="F32" s="107"/>
    </row>
    <row r="33" spans="1:5" ht="11.45" customHeight="1">
      <c r="A33" s="196" t="s">
        <v>177</v>
      </c>
      <c r="B33" s="453"/>
      <c r="C33" s="453"/>
      <c r="D33" s="453"/>
      <c r="E33" s="453"/>
    </row>
    <row r="34" spans="1:5" ht="11.45" customHeight="1">
      <c r="A34" s="421" t="s">
        <v>423</v>
      </c>
      <c r="B34" s="513">
        <f>96.3/95.8*100</f>
        <v>100.52192066805846</v>
      </c>
      <c r="C34" s="513">
        <f>93.8/93*100</f>
        <v>100.86021505376344</v>
      </c>
      <c r="D34" s="514">
        <f>94.3/93.6*100</f>
        <v>100.74786324786325</v>
      </c>
      <c r="E34" s="515">
        <f>91.5/90.5*100</f>
        <v>101.10497237569061</v>
      </c>
    </row>
    <row r="35" spans="1:5" ht="12" customHeight="1">
      <c r="A35" s="196" t="s">
        <v>183</v>
      </c>
      <c r="B35" s="453"/>
      <c r="C35" s="453"/>
      <c r="D35" s="453"/>
      <c r="E35" s="453"/>
    </row>
    <row r="36" spans="1:5" ht="11.45" customHeight="1">
      <c r="A36" s="421" t="s">
        <v>424</v>
      </c>
      <c r="B36" s="513">
        <f>94.1/93.9*100</f>
        <v>100.2129925452609</v>
      </c>
      <c r="C36" s="513">
        <f>94.3/94.1*100</f>
        <v>100.21253985122212</v>
      </c>
      <c r="D36" s="514">
        <f>95.1/95*100</f>
        <v>100.10526315789474</v>
      </c>
      <c r="E36" s="515">
        <f>90.1/89.9*100</f>
        <v>100.22246941045606</v>
      </c>
    </row>
    <row r="37" spans="1:5" ht="11.45" customHeight="1">
      <c r="A37" s="196" t="s">
        <v>178</v>
      </c>
      <c r="B37" s="453"/>
      <c r="C37" s="453"/>
      <c r="D37" s="453"/>
      <c r="E37" s="453"/>
    </row>
    <row r="38" spans="1:5" ht="11.45" customHeight="1">
      <c r="A38" s="257" t="s">
        <v>430</v>
      </c>
      <c r="B38" s="453"/>
      <c r="C38" s="453"/>
      <c r="D38" s="453"/>
      <c r="E38" s="453"/>
    </row>
    <row r="39" spans="1:5" ht="11.45" customHeight="1">
      <c r="A39" s="421" t="s">
        <v>431</v>
      </c>
      <c r="B39" s="525">
        <f>98.8/98.9*100</f>
        <v>99.8988877654196</v>
      </c>
      <c r="C39" s="526">
        <f>98.8/98.9*100</f>
        <v>99.8988877654196</v>
      </c>
      <c r="D39" s="527">
        <f>98.9/98.9*100</f>
        <v>100</v>
      </c>
      <c r="E39" s="525">
        <f>98.3/98.6*100</f>
        <v>99.69574036511156</v>
      </c>
    </row>
    <row r="40" spans="1:5" ht="11.45" customHeight="1">
      <c r="A40" s="196" t="s">
        <v>184</v>
      </c>
      <c r="B40" s="453"/>
      <c r="C40" s="453"/>
      <c r="D40" s="453"/>
      <c r="E40" s="453"/>
    </row>
    <row r="41" spans="1:5" ht="11.45" customHeight="1">
      <c r="A41" s="421" t="s">
        <v>425</v>
      </c>
      <c r="B41" s="513">
        <f>58.7/58.1*100</f>
        <v>101.03270223752152</v>
      </c>
      <c r="C41" s="513">
        <f>43.8/43.2*100</f>
        <v>101.38888888888889</v>
      </c>
      <c r="D41" s="514">
        <f>44.4/43.5*100</f>
        <v>102.06896551724138</v>
      </c>
      <c r="E41" s="515">
        <f>41.1/41.7*100</f>
        <v>98.56115107913669</v>
      </c>
    </row>
    <row r="42" spans="1:5" ht="12" customHeight="1">
      <c r="A42" s="196" t="s">
        <v>179</v>
      </c>
      <c r="B42" s="453"/>
      <c r="C42" s="453"/>
      <c r="D42" s="453"/>
      <c r="E42" s="453"/>
    </row>
    <row r="43" spans="1:5" ht="11.45" customHeight="1">
      <c r="A43" s="421" t="s">
        <v>426</v>
      </c>
      <c r="B43" s="513">
        <f>58.1/59.7*100</f>
        <v>97.31993299832496</v>
      </c>
      <c r="C43" s="513">
        <f>49.6/51*100</f>
        <v>97.25490196078431</v>
      </c>
      <c r="D43" s="514">
        <f>50.8/52.5*100</f>
        <v>96.76190476190476</v>
      </c>
      <c r="E43" s="515">
        <f>44/44.2*100</f>
        <v>99.54751131221718</v>
      </c>
    </row>
    <row r="44" spans="1:5" ht="11.45" customHeight="1">
      <c r="A44" s="196" t="s">
        <v>185</v>
      </c>
      <c r="B44" s="453"/>
      <c r="C44" s="453"/>
      <c r="D44" s="453"/>
      <c r="E44" s="453"/>
    </row>
    <row r="45" spans="1:5" ht="11.45" customHeight="1">
      <c r="A45" s="421" t="s">
        <v>427</v>
      </c>
      <c r="B45" s="513">
        <f>31.8/29.2*100</f>
        <v>108.90410958904111</v>
      </c>
      <c r="C45" s="513">
        <f>16.6/15*100</f>
        <v>110.66666666666667</v>
      </c>
      <c r="D45" s="514">
        <f>17.7/16*100</f>
        <v>110.625</v>
      </c>
      <c r="E45" s="515">
        <f>11.2/10.5*100</f>
        <v>106.66666666666667</v>
      </c>
    </row>
    <row r="46" spans="1:5" ht="11.45" customHeight="1">
      <c r="A46" s="196" t="s">
        <v>180</v>
      </c>
      <c r="B46" s="453"/>
      <c r="C46" s="453"/>
      <c r="D46" s="453"/>
      <c r="E46" s="453"/>
    </row>
    <row r="47" spans="1:5" ht="11.45" customHeight="1">
      <c r="A47" s="421" t="s">
        <v>428</v>
      </c>
      <c r="B47" s="513">
        <f>60.7/62.5*100</f>
        <v>97.12</v>
      </c>
      <c r="C47" s="513">
        <f>46/47.6*100</f>
        <v>96.63865546218487</v>
      </c>
      <c r="D47" s="514">
        <f>46/47.4*100</f>
        <v>97.0464135021097</v>
      </c>
      <c r="E47" s="515">
        <f>45.9/48.4*100</f>
        <v>94.83471074380165</v>
      </c>
    </row>
    <row r="48" spans="1:5" ht="11.45" customHeight="1">
      <c r="A48" s="196" t="s">
        <v>181</v>
      </c>
      <c r="B48" s="453"/>
      <c r="C48" s="453"/>
      <c r="D48" s="453"/>
      <c r="E48" s="453"/>
    </row>
    <row r="49" spans="1:5" ht="11.45" customHeight="1">
      <c r="A49" s="421" t="s">
        <v>570</v>
      </c>
      <c r="B49" s="528">
        <v>92.2</v>
      </c>
      <c r="C49" s="528">
        <v>89.3</v>
      </c>
      <c r="D49" s="528">
        <v>96.2</v>
      </c>
      <c r="E49" s="529">
        <v>70.3</v>
      </c>
    </row>
    <row r="50" spans="1:5" ht="11.45" customHeight="1">
      <c r="A50" s="196" t="s">
        <v>572</v>
      </c>
      <c r="B50" s="528"/>
      <c r="C50" s="528"/>
      <c r="D50" s="528"/>
      <c r="E50" s="529"/>
    </row>
    <row r="51" spans="1:5" ht="11.45" customHeight="1">
      <c r="A51" s="421" t="s">
        <v>429</v>
      </c>
      <c r="B51" s="513">
        <f>65/63.7*100</f>
        <v>102.04081632653062</v>
      </c>
      <c r="C51" s="513">
        <f>40.7/39.6*100</f>
        <v>102.77777777777779</v>
      </c>
      <c r="D51" s="514">
        <f>43.7/42.4*100</f>
        <v>103.06603773584906</v>
      </c>
      <c r="E51" s="515">
        <f>26/26.9*100</f>
        <v>96.6542750929368</v>
      </c>
    </row>
    <row r="52" spans="1:5" ht="12" customHeight="1">
      <c r="A52" s="196" t="s">
        <v>182</v>
      </c>
      <c r="B52" s="453"/>
      <c r="C52" s="453"/>
      <c r="D52" s="453"/>
      <c r="E52" s="453"/>
    </row>
    <row r="53" ht="3" customHeight="1"/>
    <row r="54" spans="1:4" ht="11.1" customHeight="1">
      <c r="A54" s="690" t="s">
        <v>187</v>
      </c>
      <c r="B54" s="690"/>
      <c r="C54" s="690"/>
      <c r="D54" s="690"/>
    </row>
    <row r="55" spans="1:4" ht="11.1" customHeight="1">
      <c r="A55" s="691" t="s">
        <v>186</v>
      </c>
      <c r="B55" s="691"/>
      <c r="C55" s="691"/>
      <c r="D55" s="691"/>
    </row>
  </sheetData>
  <mergeCells count="7">
    <mergeCell ref="B7:E7"/>
    <mergeCell ref="A54:D54"/>
    <mergeCell ref="A55:D55"/>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&amp;L&amp;"Arial,Normalny"&amp;10 82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Layout" workbookViewId="0" topLeftCell="A1">
      <selection activeCell="A4" sqref="A4:A5"/>
    </sheetView>
  </sheetViews>
  <sheetFormatPr defaultColWidth="9.140625" defaultRowHeight="15"/>
  <cols>
    <col min="1" max="1" width="38.7109375" style="96" customWidth="1"/>
    <col min="2" max="5" width="11.8515625" style="96" customWidth="1"/>
    <col min="6" max="10" width="6.28125" style="96" customWidth="1"/>
    <col min="11" max="16384" width="9.140625" style="96" customWidth="1"/>
  </cols>
  <sheetData>
    <row r="1" spans="1:10" ht="27.95" customHeight="1">
      <c r="A1" s="9" t="s">
        <v>545</v>
      </c>
      <c r="B1" s="9"/>
      <c r="C1" s="9"/>
      <c r="D1" s="9"/>
      <c r="E1" s="9"/>
      <c r="F1" s="3"/>
      <c r="G1" s="3"/>
      <c r="H1" s="3"/>
      <c r="I1" s="3"/>
      <c r="J1" s="3"/>
    </row>
    <row r="2" spans="1:5" ht="29.25" customHeight="1">
      <c r="A2" s="694" t="s">
        <v>432</v>
      </c>
      <c r="B2" s="694"/>
      <c r="C2" s="694"/>
      <c r="D2" s="694"/>
      <c r="E2" s="694"/>
    </row>
    <row r="3" spans="1:5" ht="9.95" customHeight="1">
      <c r="A3" s="97"/>
      <c r="B3" s="97"/>
      <c r="C3" s="97"/>
      <c r="D3" s="97"/>
      <c r="E3" s="97"/>
    </row>
    <row r="4" spans="1:5" ht="33.75" customHeight="1">
      <c r="A4" s="625" t="s">
        <v>602</v>
      </c>
      <c r="B4" s="639" t="s">
        <v>796</v>
      </c>
      <c r="C4" s="640"/>
      <c r="D4" s="640"/>
      <c r="E4" s="640"/>
    </row>
    <row r="5" spans="1:5" ht="90.75" customHeight="1">
      <c r="A5" s="627"/>
      <c r="B5" s="411" t="s">
        <v>839</v>
      </c>
      <c r="C5" s="411" t="s">
        <v>798</v>
      </c>
      <c r="D5" s="411" t="s">
        <v>799</v>
      </c>
      <c r="E5" s="412" t="s">
        <v>800</v>
      </c>
    </row>
    <row r="6" spans="1:5" ht="30" customHeight="1">
      <c r="A6" s="107"/>
      <c r="B6" s="688" t="s">
        <v>125</v>
      </c>
      <c r="C6" s="689"/>
      <c r="D6" s="689"/>
      <c r="E6" s="689"/>
    </row>
    <row r="7" spans="1:5" ht="15.75" customHeight="1">
      <c r="A7" s="124"/>
      <c r="B7" s="692" t="s">
        <v>126</v>
      </c>
      <c r="C7" s="693"/>
      <c r="D7" s="693"/>
      <c r="E7" s="693"/>
    </row>
    <row r="8" spans="1:5" ht="15.95" customHeight="1">
      <c r="A8" s="530" t="s">
        <v>433</v>
      </c>
      <c r="B8" s="531">
        <v>38.5</v>
      </c>
      <c r="C8" s="531">
        <v>50.2</v>
      </c>
      <c r="D8" s="532">
        <v>47</v>
      </c>
      <c r="E8" s="533">
        <v>65.8</v>
      </c>
    </row>
    <row r="9" spans="1:5" ht="15.95" customHeight="1">
      <c r="A9" s="534" t="s">
        <v>127</v>
      </c>
      <c r="B9" s="148"/>
      <c r="C9" s="148"/>
      <c r="D9" s="148"/>
      <c r="E9" s="149"/>
    </row>
    <row r="10" spans="1:5" ht="15.95" customHeight="1">
      <c r="A10" s="530" t="s">
        <v>434</v>
      </c>
      <c r="B10" s="148">
        <v>7.9</v>
      </c>
      <c r="C10" s="148">
        <v>11.7</v>
      </c>
      <c r="D10" s="148">
        <v>9.6</v>
      </c>
      <c r="E10" s="149">
        <v>21.5</v>
      </c>
    </row>
    <row r="11" spans="1:5" ht="15.95" customHeight="1">
      <c r="A11" s="534" t="s">
        <v>128</v>
      </c>
      <c r="B11" s="148"/>
      <c r="C11" s="148"/>
      <c r="D11" s="148"/>
      <c r="E11" s="149"/>
    </row>
    <row r="12" spans="1:5" ht="15.95" customHeight="1">
      <c r="A12" s="530" t="s">
        <v>435</v>
      </c>
      <c r="B12" s="148">
        <v>7.9</v>
      </c>
      <c r="C12" s="148">
        <v>11.5</v>
      </c>
      <c r="D12" s="148">
        <v>9.8</v>
      </c>
      <c r="E12" s="149">
        <v>19.7</v>
      </c>
    </row>
    <row r="13" spans="1:5" ht="15.95" customHeight="1">
      <c r="A13" s="534" t="s">
        <v>228</v>
      </c>
      <c r="B13" s="148"/>
      <c r="C13" s="148"/>
      <c r="D13" s="148"/>
      <c r="E13" s="149"/>
    </row>
    <row r="14" spans="1:5" ht="15.95" customHeight="1">
      <c r="A14" s="530" t="s">
        <v>436</v>
      </c>
      <c r="B14" s="148">
        <v>44.5</v>
      </c>
      <c r="C14" s="148">
        <v>60.5</v>
      </c>
      <c r="D14" s="148">
        <v>57.6</v>
      </c>
      <c r="E14" s="149">
        <v>74.2</v>
      </c>
    </row>
    <row r="15" spans="1:5" ht="15.95" customHeight="1">
      <c r="A15" s="534" t="s">
        <v>129</v>
      </c>
      <c r="B15" s="148"/>
      <c r="C15" s="148"/>
      <c r="D15" s="148"/>
      <c r="E15" s="149"/>
    </row>
    <row r="17" spans="1:5" ht="27.95" customHeight="1">
      <c r="A17" s="584" t="s">
        <v>437</v>
      </c>
      <c r="B17" s="584"/>
      <c r="C17" s="584"/>
      <c r="D17" s="584"/>
      <c r="E17" s="584"/>
    </row>
    <row r="18" spans="1:5" ht="17.25" customHeight="1">
      <c r="A18" s="579" t="s">
        <v>438</v>
      </c>
      <c r="B18" s="579"/>
      <c r="C18" s="579"/>
      <c r="D18" s="579"/>
      <c r="E18" s="579"/>
    </row>
    <row r="19" spans="1:5" ht="9.95" customHeight="1">
      <c r="A19" s="97"/>
      <c r="B19" s="97"/>
      <c r="C19" s="97"/>
      <c r="D19" s="97"/>
      <c r="E19" s="97"/>
    </row>
    <row r="20" spans="1:5" ht="15">
      <c r="A20" s="625" t="s">
        <v>602</v>
      </c>
      <c r="B20" s="639" t="s">
        <v>796</v>
      </c>
      <c r="C20" s="640"/>
      <c r="D20" s="640"/>
      <c r="E20" s="640"/>
    </row>
    <row r="21" spans="1:5" ht="84">
      <c r="A21" s="685"/>
      <c r="B21" s="411" t="s">
        <v>839</v>
      </c>
      <c r="C21" s="411" t="s">
        <v>798</v>
      </c>
      <c r="D21" s="411" t="s">
        <v>799</v>
      </c>
      <c r="E21" s="412" t="s">
        <v>800</v>
      </c>
    </row>
    <row r="22" spans="1:5" ht="15">
      <c r="A22" s="476"/>
      <c r="B22" s="688"/>
      <c r="C22" s="689"/>
      <c r="D22" s="689"/>
      <c r="E22" s="689"/>
    </row>
    <row r="23" spans="1:5" ht="24">
      <c r="A23" s="432" t="s">
        <v>439</v>
      </c>
      <c r="B23" s="535"/>
      <c r="C23" s="535"/>
      <c r="D23" s="535"/>
      <c r="E23" s="535"/>
    </row>
    <row r="24" spans="1:5" ht="15">
      <c r="A24" s="530" t="s">
        <v>440</v>
      </c>
      <c r="B24" s="536">
        <v>77.89</v>
      </c>
      <c r="C24" s="536">
        <v>69.4</v>
      </c>
      <c r="D24" s="536">
        <v>70.01</v>
      </c>
      <c r="E24" s="536">
        <v>66.36</v>
      </c>
    </row>
    <row r="25" spans="1:5" ht="24">
      <c r="A25" s="422" t="s">
        <v>130</v>
      </c>
      <c r="B25" s="423"/>
      <c r="C25" s="423"/>
      <c r="D25" s="423"/>
      <c r="E25" s="424"/>
    </row>
    <row r="26" spans="1:5" ht="15">
      <c r="A26" s="432" t="s">
        <v>441</v>
      </c>
      <c r="B26" s="423"/>
      <c r="C26" s="423"/>
      <c r="D26" s="423"/>
      <c r="E26" s="424"/>
    </row>
    <row r="27" spans="1:5" ht="15">
      <c r="A27" s="530" t="s">
        <v>442</v>
      </c>
      <c r="B27" s="537">
        <v>3</v>
      </c>
      <c r="C27" s="537">
        <v>2.73</v>
      </c>
      <c r="D27" s="537">
        <v>2.77</v>
      </c>
      <c r="E27" s="538">
        <v>2.57</v>
      </c>
    </row>
    <row r="28" spans="1:5" ht="24">
      <c r="A28" s="422" t="s">
        <v>131</v>
      </c>
      <c r="B28" s="423"/>
      <c r="C28" s="423"/>
      <c r="D28" s="423"/>
      <c r="E28" s="424"/>
    </row>
    <row r="29" spans="1:5" ht="24">
      <c r="A29" s="432" t="s">
        <v>439</v>
      </c>
      <c r="B29" s="423"/>
      <c r="C29" s="423"/>
      <c r="D29" s="423"/>
      <c r="E29" s="424"/>
    </row>
    <row r="30" spans="1:5" ht="15">
      <c r="A30" s="530" t="s">
        <v>443</v>
      </c>
      <c r="B30" s="537">
        <v>27.83</v>
      </c>
      <c r="C30" s="537">
        <v>37.8</v>
      </c>
      <c r="D30" s="537">
        <v>37.52</v>
      </c>
      <c r="E30" s="538">
        <v>39.34</v>
      </c>
    </row>
    <row r="31" spans="1:5" ht="24">
      <c r="A31" s="422" t="s">
        <v>444</v>
      </c>
      <c r="B31" s="423"/>
      <c r="C31" s="423"/>
      <c r="D31" s="423"/>
      <c r="E31" s="424"/>
    </row>
    <row r="32" spans="1:5" ht="15">
      <c r="A32" s="530" t="s">
        <v>445</v>
      </c>
      <c r="B32" s="536">
        <v>0.93</v>
      </c>
      <c r="C32" s="536">
        <v>0.67</v>
      </c>
      <c r="D32" s="536">
        <v>0.67</v>
      </c>
      <c r="E32" s="536">
        <v>0.66</v>
      </c>
    </row>
    <row r="33" spans="1:5" ht="15">
      <c r="A33" s="422" t="s">
        <v>132</v>
      </c>
      <c r="B33" s="423"/>
      <c r="C33" s="423"/>
      <c r="D33" s="423"/>
      <c r="E33" s="424"/>
    </row>
  </sheetData>
  <mergeCells count="10">
    <mergeCell ref="A17:E17"/>
    <mergeCell ref="A18:E18"/>
    <mergeCell ref="A20:A21"/>
    <mergeCell ref="B20:E20"/>
    <mergeCell ref="B22:E22"/>
    <mergeCell ref="B4:E4"/>
    <mergeCell ref="B7:E7"/>
    <mergeCell ref="B6:E6"/>
    <mergeCell ref="A2:E2"/>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83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workbookViewId="0" topLeftCell="A17">
      <selection activeCell="E31" sqref="E31"/>
    </sheetView>
  </sheetViews>
  <sheetFormatPr defaultColWidth="9.140625" defaultRowHeight="15"/>
  <cols>
    <col min="1" max="1" width="24.421875" style="46" customWidth="1"/>
    <col min="2" max="2" width="11.140625" style="46" customWidth="1"/>
    <col min="3" max="4" width="25.7109375" style="46" customWidth="1"/>
    <col min="5" max="5" width="17.7109375" style="46" customWidth="1"/>
    <col min="6" max="16384" width="9.140625" style="46" customWidth="1"/>
  </cols>
  <sheetData>
    <row r="1" spans="1:4" ht="15.95" customHeight="1">
      <c r="A1" s="584" t="s">
        <v>261</v>
      </c>
      <c r="B1" s="584"/>
      <c r="C1" s="584"/>
      <c r="D1" s="584"/>
    </row>
    <row r="2" spans="1:4" ht="15.95" customHeight="1">
      <c r="A2" s="586" t="s">
        <v>953</v>
      </c>
      <c r="B2" s="586"/>
      <c r="C2" s="586"/>
      <c r="D2" s="586"/>
    </row>
    <row r="3" spans="1:7" ht="15.95" customHeight="1">
      <c r="A3" s="579" t="s">
        <v>262</v>
      </c>
      <c r="B3" s="579"/>
      <c r="C3" s="579"/>
      <c r="D3" s="579"/>
      <c r="E3" s="47"/>
      <c r="F3" s="47"/>
      <c r="G3" s="47"/>
    </row>
    <row r="4" spans="1:7" ht="15.95" customHeight="1">
      <c r="A4" s="594" t="s">
        <v>955</v>
      </c>
      <c r="B4" s="594"/>
      <c r="C4" s="594"/>
      <c r="D4" s="594"/>
      <c r="E4" s="47"/>
      <c r="F4" s="47"/>
      <c r="G4" s="47"/>
    </row>
    <row r="5" spans="1:7" ht="9.95" customHeight="1">
      <c r="A5" s="73"/>
      <c r="B5" s="73"/>
      <c r="C5" s="73"/>
      <c r="D5" s="73"/>
      <c r="E5" s="47"/>
      <c r="F5" s="47"/>
      <c r="G5" s="47"/>
    </row>
    <row r="6" spans="1:4" ht="46.5" customHeight="1">
      <c r="A6" s="597" t="s">
        <v>602</v>
      </c>
      <c r="B6" s="592"/>
      <c r="C6" s="49" t="s">
        <v>616</v>
      </c>
      <c r="D6" s="81" t="s">
        <v>604</v>
      </c>
    </row>
    <row r="7" spans="1:4" ht="33.75" customHeight="1">
      <c r="A7" s="598"/>
      <c r="B7" s="593"/>
      <c r="C7" s="589" t="s">
        <v>951</v>
      </c>
      <c r="D7" s="591"/>
    </row>
    <row r="8" spans="1:4" ht="15">
      <c r="A8" s="600"/>
      <c r="B8" s="601"/>
      <c r="C8" s="82"/>
      <c r="D8" s="82"/>
    </row>
    <row r="9" spans="1:4" ht="13.5">
      <c r="A9" s="57" t="s">
        <v>606</v>
      </c>
      <c r="B9" s="65">
        <v>2017</v>
      </c>
      <c r="C9" s="83">
        <v>7358.2</v>
      </c>
      <c r="D9" s="84">
        <v>5230.606</v>
      </c>
    </row>
    <row r="10" spans="1:5" ht="15" customHeight="1">
      <c r="A10" s="61" t="s">
        <v>607</v>
      </c>
      <c r="B10" s="56">
        <v>2016</v>
      </c>
      <c r="C10" s="85">
        <v>7312.8</v>
      </c>
      <c r="D10" s="86">
        <v>5119.4</v>
      </c>
      <c r="E10" s="87"/>
    </row>
    <row r="11" spans="1:5" ht="15">
      <c r="A11" s="61"/>
      <c r="B11" s="56"/>
      <c r="C11" s="88"/>
      <c r="D11" s="88"/>
      <c r="E11" s="63"/>
    </row>
    <row r="12" spans="1:5" ht="15" customHeight="1">
      <c r="A12" s="606" t="s">
        <v>867</v>
      </c>
      <c r="B12" s="607"/>
      <c r="C12" s="84">
        <v>750.7</v>
      </c>
      <c r="D12" s="84">
        <v>551.015</v>
      </c>
      <c r="E12" s="63"/>
    </row>
    <row r="13" spans="1:4" ht="15" customHeight="1">
      <c r="A13" s="595" t="s">
        <v>7</v>
      </c>
      <c r="B13" s="596"/>
      <c r="C13" s="89">
        <v>512.372</v>
      </c>
      <c r="D13" s="90">
        <v>381.096</v>
      </c>
    </row>
    <row r="14" spans="1:4" ht="15" customHeight="1">
      <c r="A14" s="595" t="s">
        <v>15</v>
      </c>
      <c r="B14" s="596"/>
      <c r="C14" s="89">
        <v>238.328</v>
      </c>
      <c r="D14" s="90">
        <v>169.919</v>
      </c>
    </row>
    <row r="15" spans="1:4" ht="15" customHeight="1">
      <c r="A15" s="606" t="s">
        <v>868</v>
      </c>
      <c r="B15" s="607"/>
      <c r="C15" s="91">
        <v>1737.821</v>
      </c>
      <c r="D15" s="84">
        <v>1210.703</v>
      </c>
    </row>
    <row r="16" spans="1:4" ht="15" customHeight="1">
      <c r="A16" s="595" t="s">
        <v>8</v>
      </c>
      <c r="B16" s="596"/>
      <c r="C16" s="89">
        <v>622.432</v>
      </c>
      <c r="D16" s="90">
        <v>439.01</v>
      </c>
    </row>
    <row r="17" spans="1:4" ht="15" customHeight="1">
      <c r="A17" s="595" t="s">
        <v>14</v>
      </c>
      <c r="B17" s="596"/>
      <c r="C17" s="89">
        <v>1115.389</v>
      </c>
      <c r="D17" s="90">
        <v>771.693</v>
      </c>
    </row>
    <row r="18" spans="1:4" ht="15" customHeight="1">
      <c r="A18" s="606" t="s">
        <v>869</v>
      </c>
      <c r="B18" s="607"/>
      <c r="C18" s="91">
        <v>911.606</v>
      </c>
      <c r="D18" s="84">
        <v>643.696</v>
      </c>
    </row>
    <row r="19" spans="1:4" ht="15" customHeight="1">
      <c r="A19" s="595" t="s">
        <v>5</v>
      </c>
      <c r="B19" s="596"/>
      <c r="C19" s="92">
        <v>356.125</v>
      </c>
      <c r="D19" s="90">
        <v>247.302</v>
      </c>
    </row>
    <row r="20" spans="1:4" ht="15" customHeight="1">
      <c r="A20" s="595" t="s">
        <v>11</v>
      </c>
      <c r="B20" s="596"/>
      <c r="C20" s="92">
        <v>380.359</v>
      </c>
      <c r="D20" s="90">
        <v>265.898</v>
      </c>
    </row>
    <row r="21" spans="1:4" ht="15" customHeight="1">
      <c r="A21" s="595" t="s">
        <v>12</v>
      </c>
      <c r="B21" s="596"/>
      <c r="C21" s="92">
        <v>175.122</v>
      </c>
      <c r="D21" s="90">
        <v>130.496</v>
      </c>
    </row>
    <row r="22" spans="1:4" ht="15" customHeight="1">
      <c r="A22" s="604" t="s">
        <v>870</v>
      </c>
      <c r="B22" s="605"/>
      <c r="C22" s="93">
        <v>1170.443</v>
      </c>
      <c r="D22" s="84">
        <v>805.393</v>
      </c>
    </row>
    <row r="23" spans="1:4" ht="15" customHeight="1">
      <c r="A23" s="602" t="s">
        <v>6</v>
      </c>
      <c r="B23" s="603"/>
      <c r="C23" s="92">
        <v>199.818</v>
      </c>
      <c r="D23" s="90">
        <v>138.48</v>
      </c>
    </row>
    <row r="24" spans="1:4" ht="15" customHeight="1">
      <c r="A24" s="602" t="s">
        <v>2</v>
      </c>
      <c r="B24" s="603"/>
      <c r="C24" s="92">
        <v>636.842</v>
      </c>
      <c r="D24" s="90">
        <v>426.588</v>
      </c>
    </row>
    <row r="25" spans="1:4" ht="15" customHeight="1">
      <c r="A25" s="602" t="s">
        <v>3</v>
      </c>
      <c r="B25" s="603"/>
      <c r="C25" s="92">
        <v>333.783</v>
      </c>
      <c r="D25" s="94">
        <v>240.325</v>
      </c>
    </row>
    <row r="26" spans="1:4" ht="15" customHeight="1">
      <c r="A26" s="604" t="s">
        <v>871</v>
      </c>
      <c r="B26" s="605"/>
      <c r="C26" s="93">
        <v>780.083</v>
      </c>
      <c r="D26" s="95">
        <v>569.4</v>
      </c>
    </row>
    <row r="27" spans="1:4" ht="15" customHeight="1">
      <c r="A27" s="602" t="s">
        <v>4</v>
      </c>
      <c r="B27" s="603"/>
      <c r="C27" s="92">
        <v>604.58</v>
      </c>
      <c r="D27" s="90">
        <v>439.622</v>
      </c>
    </row>
    <row r="28" spans="1:4" ht="15" customHeight="1">
      <c r="A28" s="602" t="s">
        <v>10</v>
      </c>
      <c r="B28" s="603"/>
      <c r="C28" s="92">
        <v>175.503</v>
      </c>
      <c r="D28" s="90">
        <v>129.778</v>
      </c>
    </row>
    <row r="29" spans="1:4" ht="15" customHeight="1">
      <c r="A29" s="604" t="s">
        <v>872</v>
      </c>
      <c r="B29" s="605"/>
      <c r="C29" s="93">
        <v>1053.702</v>
      </c>
      <c r="D29" s="84">
        <v>729.55</v>
      </c>
    </row>
    <row r="30" spans="1:4" ht="15" customHeight="1">
      <c r="A30" s="602" t="s">
        <v>0</v>
      </c>
      <c r="B30" s="603"/>
      <c r="C30" s="92">
        <v>387.16</v>
      </c>
      <c r="D30" s="90">
        <v>262.977</v>
      </c>
    </row>
    <row r="31" spans="1:4" ht="15" customHeight="1">
      <c r="A31" s="602" t="s">
        <v>13</v>
      </c>
      <c r="B31" s="603"/>
      <c r="C31" s="92">
        <v>416.317</v>
      </c>
      <c r="D31" s="90">
        <v>294.975</v>
      </c>
    </row>
    <row r="32" spans="1:4" ht="15" customHeight="1">
      <c r="A32" s="595" t="s">
        <v>1</v>
      </c>
      <c r="B32" s="596"/>
      <c r="C32" s="92">
        <v>250.225</v>
      </c>
      <c r="D32" s="90">
        <v>171.598</v>
      </c>
    </row>
    <row r="33" spans="1:4" ht="15" customHeight="1">
      <c r="A33" s="606" t="s">
        <v>873</v>
      </c>
      <c r="B33" s="607"/>
      <c r="C33" s="93">
        <v>953.759</v>
      </c>
      <c r="D33" s="84">
        <v>720.849</v>
      </c>
    </row>
    <row r="34" spans="1:4" ht="15" customHeight="1">
      <c r="A34" s="595" t="s">
        <v>562</v>
      </c>
      <c r="B34" s="596"/>
      <c r="C34" s="92">
        <v>953.759</v>
      </c>
      <c r="D34" s="90">
        <v>720.849</v>
      </c>
    </row>
    <row r="35" spans="1:4" ht="8.25" customHeight="1">
      <c r="A35" s="69"/>
      <c r="B35" s="69"/>
      <c r="C35" s="48"/>
      <c r="D35" s="56"/>
    </row>
    <row r="36" spans="1:4" ht="68.25" customHeight="1">
      <c r="A36" s="609" t="s">
        <v>618</v>
      </c>
      <c r="B36" s="609"/>
      <c r="C36" s="609"/>
      <c r="D36" s="609"/>
    </row>
    <row r="37" spans="1:4" ht="59.25" customHeight="1">
      <c r="A37" s="608" t="s">
        <v>47</v>
      </c>
      <c r="B37" s="608"/>
      <c r="C37" s="608"/>
      <c r="D37" s="608"/>
    </row>
    <row r="38" spans="1:4" ht="23.25" customHeight="1">
      <c r="A38" s="79"/>
      <c r="B38" s="79"/>
      <c r="C38" s="79"/>
      <c r="D38" s="79"/>
    </row>
    <row r="39" spans="1:4" ht="15">
      <c r="A39" s="80"/>
      <c r="B39" s="80"/>
      <c r="C39" s="80"/>
      <c r="D39" s="80"/>
    </row>
    <row r="40" spans="1:4" ht="21.75" customHeight="1">
      <c r="A40" s="80"/>
      <c r="B40" s="80"/>
      <c r="C40" s="80"/>
      <c r="D40" s="80"/>
    </row>
    <row r="41" spans="1:4" ht="34.5" customHeight="1">
      <c r="A41" s="80"/>
      <c r="B41" s="80"/>
      <c r="C41" s="80"/>
      <c r="D41" s="80"/>
    </row>
  </sheetData>
  <mergeCells count="32">
    <mergeCell ref="A37:D37"/>
    <mergeCell ref="A12:B12"/>
    <mergeCell ref="A30:B30"/>
    <mergeCell ref="A33:B33"/>
    <mergeCell ref="A23:B23"/>
    <mergeCell ref="A24:B24"/>
    <mergeCell ref="A25:B25"/>
    <mergeCell ref="A26:B26"/>
    <mergeCell ref="A27:B27"/>
    <mergeCell ref="A36:D36"/>
    <mergeCell ref="A34:B34"/>
    <mergeCell ref="A18:B18"/>
    <mergeCell ref="A19:B19"/>
    <mergeCell ref="A20:B20"/>
    <mergeCell ref="A13:B13"/>
    <mergeCell ref="A14:B14"/>
    <mergeCell ref="A15:B15"/>
    <mergeCell ref="A16:B16"/>
    <mergeCell ref="C7:D7"/>
    <mergeCell ref="A6:B7"/>
    <mergeCell ref="A1:D1"/>
    <mergeCell ref="A3:D3"/>
    <mergeCell ref="A2:D2"/>
    <mergeCell ref="A4:D4"/>
    <mergeCell ref="A8:B8"/>
    <mergeCell ref="A32:B32"/>
    <mergeCell ref="A31:B31"/>
    <mergeCell ref="A21:B21"/>
    <mergeCell ref="A22:B22"/>
    <mergeCell ref="A17:B17"/>
    <mergeCell ref="A28:B28"/>
    <mergeCell ref="A29:B29"/>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39</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Layout" zoomScale="80" zoomScalePageLayoutView="80" workbookViewId="0" topLeftCell="A19">
      <selection activeCell="E31" sqref="E31"/>
    </sheetView>
  </sheetViews>
  <sheetFormatPr defaultColWidth="9.140625" defaultRowHeight="15"/>
  <cols>
    <col min="1" max="1" width="34.7109375" style="96" customWidth="1"/>
    <col min="2" max="2" width="13.8515625" style="96" customWidth="1"/>
    <col min="3" max="3" width="12.57421875" style="96" customWidth="1"/>
    <col min="4" max="4" width="13.421875" style="96" customWidth="1"/>
    <col min="5" max="5" width="12.421875" style="96" customWidth="1"/>
    <col min="6" max="10" width="6.28125" style="96" customWidth="1"/>
    <col min="11" max="16384" width="9.140625" style="96" customWidth="1"/>
  </cols>
  <sheetData>
    <row r="1" spans="1:5" ht="27.95" customHeight="1">
      <c r="A1" s="584" t="s">
        <v>446</v>
      </c>
      <c r="B1" s="584"/>
      <c r="C1" s="584"/>
      <c r="D1" s="584"/>
      <c r="E1" s="584"/>
    </row>
    <row r="2" spans="1:5" ht="27.95" customHeight="1">
      <c r="A2" s="579" t="s">
        <v>447</v>
      </c>
      <c r="B2" s="579"/>
      <c r="C2" s="579"/>
      <c r="D2" s="579"/>
      <c r="E2" s="579"/>
    </row>
    <row r="3" spans="1:5" ht="9.95" customHeight="1">
      <c r="A3" s="97"/>
      <c r="B3" s="97"/>
      <c r="C3" s="97"/>
      <c r="D3" s="97"/>
      <c r="E3" s="97"/>
    </row>
    <row r="4" spans="1:5" ht="33.75" customHeight="1">
      <c r="A4" s="625" t="s">
        <v>861</v>
      </c>
      <c r="B4" s="639" t="s">
        <v>796</v>
      </c>
      <c r="C4" s="640"/>
      <c r="D4" s="640"/>
      <c r="E4" s="640"/>
    </row>
    <row r="5" spans="1:5" ht="75.75" customHeight="1">
      <c r="A5" s="685"/>
      <c r="B5" s="411" t="s">
        <v>839</v>
      </c>
      <c r="C5" s="411" t="s">
        <v>798</v>
      </c>
      <c r="D5" s="411" t="s">
        <v>799</v>
      </c>
      <c r="E5" s="412" t="s">
        <v>800</v>
      </c>
    </row>
    <row r="6" spans="1:5" ht="12" customHeight="1">
      <c r="A6" s="476"/>
      <c r="B6" s="695" t="s">
        <v>862</v>
      </c>
      <c r="C6" s="689"/>
      <c r="D6" s="689"/>
      <c r="E6" s="689"/>
    </row>
    <row r="7" spans="1:5" s="418" customFormat="1" ht="12" customHeight="1">
      <c r="A7" s="530" t="s">
        <v>448</v>
      </c>
      <c r="B7" s="445">
        <v>99.44</v>
      </c>
      <c r="C7" s="445">
        <v>99.18</v>
      </c>
      <c r="D7" s="445">
        <v>99.21</v>
      </c>
      <c r="E7" s="446">
        <v>99.02</v>
      </c>
    </row>
    <row r="8" spans="1:5" s="418" customFormat="1" ht="12" customHeight="1">
      <c r="A8" s="541" t="s">
        <v>159</v>
      </c>
      <c r="B8" s="423"/>
      <c r="C8" s="423"/>
      <c r="D8" s="423"/>
      <c r="E8" s="424"/>
    </row>
    <row r="9" spans="1:5" s="418" customFormat="1" ht="12" customHeight="1">
      <c r="A9" s="530" t="s">
        <v>449</v>
      </c>
      <c r="B9" s="445">
        <v>93.95</v>
      </c>
      <c r="C9" s="445">
        <v>94</v>
      </c>
      <c r="D9" s="445">
        <v>94.24</v>
      </c>
      <c r="E9" s="446">
        <v>92.78</v>
      </c>
    </row>
    <row r="10" spans="1:5" s="418" customFormat="1" ht="12" customHeight="1">
      <c r="A10" s="542" t="s">
        <v>166</v>
      </c>
      <c r="B10" s="423"/>
      <c r="C10" s="423"/>
      <c r="D10" s="423"/>
      <c r="E10" s="424"/>
    </row>
    <row r="11" spans="1:5" s="418" customFormat="1" ht="12" customHeight="1">
      <c r="A11" s="530" t="s">
        <v>450</v>
      </c>
      <c r="B11" s="445">
        <v>97.92</v>
      </c>
      <c r="C11" s="445">
        <v>97.19</v>
      </c>
      <c r="D11" s="445">
        <v>97.37</v>
      </c>
      <c r="E11" s="446">
        <v>96.25</v>
      </c>
    </row>
    <row r="12" spans="1:5" s="418" customFormat="1" ht="12" customHeight="1">
      <c r="A12" s="541" t="s">
        <v>160</v>
      </c>
      <c r="B12" s="423"/>
      <c r="C12" s="423"/>
      <c r="D12" s="423"/>
      <c r="E12" s="424"/>
    </row>
    <row r="13" spans="1:5" s="418" customFormat="1" ht="12" customHeight="1">
      <c r="A13" s="530" t="s">
        <v>451</v>
      </c>
      <c r="B13" s="445">
        <v>96.94</v>
      </c>
      <c r="C13" s="445">
        <v>95.65</v>
      </c>
      <c r="D13" s="445">
        <v>95.94</v>
      </c>
      <c r="E13" s="446">
        <v>94.21</v>
      </c>
    </row>
    <row r="14" spans="1:5" ht="12" customHeight="1">
      <c r="A14" s="541" t="s">
        <v>161</v>
      </c>
      <c r="B14" s="453"/>
      <c r="C14" s="453"/>
      <c r="D14" s="453"/>
      <c r="E14" s="453"/>
    </row>
    <row r="15" spans="1:5" ht="12" customHeight="1">
      <c r="A15" s="530" t="s">
        <v>452</v>
      </c>
      <c r="B15" s="445">
        <v>97.14</v>
      </c>
      <c r="C15" s="445">
        <v>96</v>
      </c>
      <c r="D15" s="445">
        <v>96.37</v>
      </c>
      <c r="E15" s="446">
        <v>94.2</v>
      </c>
    </row>
    <row r="16" spans="1:5" ht="12" customHeight="1">
      <c r="A16" s="541" t="s">
        <v>162</v>
      </c>
      <c r="B16" s="539"/>
      <c r="C16" s="539"/>
      <c r="D16" s="539"/>
      <c r="E16" s="539"/>
    </row>
    <row r="17" spans="1:5" ht="12" customHeight="1">
      <c r="A17" s="530" t="s">
        <v>453</v>
      </c>
      <c r="B17" s="445">
        <v>30.59</v>
      </c>
      <c r="C17" s="445">
        <v>30.45</v>
      </c>
      <c r="D17" s="445">
        <v>31.83</v>
      </c>
      <c r="E17" s="446">
        <v>23.54</v>
      </c>
    </row>
    <row r="18" spans="1:5" ht="12" customHeight="1">
      <c r="A18" s="542" t="s">
        <v>166</v>
      </c>
      <c r="B18" s="453"/>
      <c r="C18" s="453"/>
      <c r="D18" s="453"/>
      <c r="E18" s="453"/>
    </row>
    <row r="19" spans="1:5" ht="12" customHeight="1">
      <c r="A19" s="530" t="s">
        <v>454</v>
      </c>
      <c r="B19" s="445">
        <v>90.3</v>
      </c>
      <c r="C19" s="445">
        <v>93.59</v>
      </c>
      <c r="D19" s="445">
        <v>93.67</v>
      </c>
      <c r="E19" s="446">
        <v>93.19</v>
      </c>
    </row>
    <row r="20" spans="1:5" ht="12" customHeight="1">
      <c r="A20" s="541" t="s">
        <v>163</v>
      </c>
      <c r="B20" s="453"/>
      <c r="C20" s="453"/>
      <c r="D20" s="453"/>
      <c r="E20" s="453"/>
    </row>
    <row r="21" spans="1:5" ht="12" customHeight="1">
      <c r="A21" s="530" t="s">
        <v>449</v>
      </c>
      <c r="B21" s="445">
        <v>55.19</v>
      </c>
      <c r="C21" s="445">
        <v>60.6</v>
      </c>
      <c r="D21" s="445">
        <v>62.4</v>
      </c>
      <c r="E21" s="446">
        <v>51.55</v>
      </c>
    </row>
    <row r="22" spans="1:5" ht="12" customHeight="1">
      <c r="A22" s="542" t="s">
        <v>166</v>
      </c>
      <c r="B22" s="453"/>
      <c r="C22" s="453"/>
      <c r="D22" s="453"/>
      <c r="E22" s="453"/>
    </row>
    <row r="23" spans="1:5" ht="12" customHeight="1">
      <c r="A23" s="530" t="s">
        <v>455</v>
      </c>
      <c r="B23" s="445">
        <v>86.88</v>
      </c>
      <c r="C23" s="445">
        <v>85.22</v>
      </c>
      <c r="D23" s="445">
        <v>86.34</v>
      </c>
      <c r="E23" s="446">
        <v>79.62</v>
      </c>
    </row>
    <row r="24" spans="1:5" ht="12" customHeight="1">
      <c r="A24" s="541" t="s">
        <v>164</v>
      </c>
      <c r="B24" s="453"/>
      <c r="C24" s="453"/>
      <c r="D24" s="453"/>
      <c r="E24" s="453"/>
    </row>
    <row r="25" spans="1:5" ht="12" customHeight="1">
      <c r="A25" s="530" t="s">
        <v>456</v>
      </c>
      <c r="B25" s="445">
        <v>13.01</v>
      </c>
      <c r="C25" s="445">
        <v>14.7</v>
      </c>
      <c r="D25" s="445">
        <v>13.58</v>
      </c>
      <c r="E25" s="446">
        <v>20.3</v>
      </c>
    </row>
    <row r="26" spans="1:5" ht="12" customHeight="1">
      <c r="A26" s="541" t="s">
        <v>165</v>
      </c>
      <c r="B26" s="453"/>
      <c r="C26" s="453"/>
      <c r="D26" s="453"/>
      <c r="E26" s="453"/>
    </row>
    <row r="27" spans="1:5" ht="12" customHeight="1">
      <c r="A27" s="530"/>
      <c r="B27" s="522"/>
      <c r="C27" s="522"/>
      <c r="D27" s="522"/>
      <c r="E27" s="523"/>
    </row>
    <row r="28" spans="1:5" ht="12" customHeight="1">
      <c r="A28" s="541"/>
      <c r="B28" s="436"/>
      <c r="C28" s="436"/>
      <c r="D28" s="436"/>
      <c r="E28" s="436"/>
    </row>
    <row r="29" ht="9.95" customHeight="1"/>
    <row r="30" ht="15">
      <c r="A30" s="133" t="s">
        <v>157</v>
      </c>
    </row>
    <row r="31" ht="15">
      <c r="A31" s="540" t="s">
        <v>158</v>
      </c>
    </row>
  </sheetData>
  <mergeCells count="5">
    <mergeCell ref="B6:E6"/>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84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Layout" workbookViewId="0" topLeftCell="A19">
      <selection activeCell="E31" sqref="E31"/>
    </sheetView>
  </sheetViews>
  <sheetFormatPr defaultColWidth="9.140625" defaultRowHeight="15"/>
  <cols>
    <col min="1" max="1" width="36.421875" style="96" customWidth="1"/>
    <col min="2" max="5" width="12.7109375" style="96" customWidth="1"/>
    <col min="6" max="10" width="6.28125" style="96" customWidth="1"/>
    <col min="11" max="16384" width="9.140625" style="96" customWidth="1"/>
  </cols>
  <sheetData>
    <row r="1" spans="1:5" ht="27.95" customHeight="1">
      <c r="A1" s="584" t="s">
        <v>457</v>
      </c>
      <c r="B1" s="584"/>
      <c r="C1" s="584"/>
      <c r="D1" s="584"/>
      <c r="E1" s="584"/>
    </row>
    <row r="2" spans="1:5" ht="15.95" customHeight="1">
      <c r="A2" s="579" t="s">
        <v>550</v>
      </c>
      <c r="B2" s="579"/>
      <c r="C2" s="579"/>
      <c r="D2" s="579"/>
      <c r="E2" s="579"/>
    </row>
    <row r="3" spans="1:5" ht="9.95" customHeight="1">
      <c r="A3" s="97"/>
      <c r="B3" s="97"/>
      <c r="C3" s="97"/>
      <c r="D3" s="97"/>
      <c r="E3" s="97"/>
    </row>
    <row r="4" spans="1:5" ht="33.75" customHeight="1">
      <c r="A4" s="625" t="s">
        <v>863</v>
      </c>
      <c r="B4" s="639" t="s">
        <v>796</v>
      </c>
      <c r="C4" s="640"/>
      <c r="D4" s="640"/>
      <c r="E4" s="640"/>
    </row>
    <row r="5" spans="1:5" ht="90.75" customHeight="1">
      <c r="A5" s="685"/>
      <c r="B5" s="411" t="s">
        <v>839</v>
      </c>
      <c r="C5" s="411" t="s">
        <v>798</v>
      </c>
      <c r="D5" s="411" t="s">
        <v>799</v>
      </c>
      <c r="E5" s="412" t="s">
        <v>800</v>
      </c>
    </row>
    <row r="6" spans="1:5" ht="15.95" customHeight="1">
      <c r="A6" s="476"/>
      <c r="B6" s="688" t="s">
        <v>864</v>
      </c>
      <c r="C6" s="689"/>
      <c r="D6" s="689"/>
      <c r="E6" s="689"/>
    </row>
    <row r="7" spans="1:5" s="418" customFormat="1" ht="27.95" customHeight="1">
      <c r="A7" s="432" t="s">
        <v>458</v>
      </c>
      <c r="B7" s="544"/>
      <c r="C7" s="544"/>
      <c r="D7" s="544"/>
      <c r="E7" s="535"/>
    </row>
    <row r="8" spans="1:5" s="418" customFormat="1" ht="12" customHeight="1">
      <c r="A8" s="530" t="s">
        <v>459</v>
      </c>
      <c r="B8" s="545">
        <v>11.7</v>
      </c>
      <c r="C8" s="545">
        <v>11.8</v>
      </c>
      <c r="D8" s="545">
        <v>10.8</v>
      </c>
      <c r="E8" s="546">
        <v>16.2</v>
      </c>
    </row>
    <row r="9" spans="1:5" s="418" customFormat="1" ht="24.95" customHeight="1">
      <c r="A9" s="422" t="s">
        <v>133</v>
      </c>
      <c r="B9" s="545"/>
      <c r="C9" s="545"/>
      <c r="D9" s="545"/>
      <c r="E9" s="546"/>
    </row>
    <row r="10" spans="1:5" s="418" customFormat="1" ht="27.95" customHeight="1">
      <c r="A10" s="432" t="s">
        <v>460</v>
      </c>
      <c r="B10" s="545"/>
      <c r="C10" s="545"/>
      <c r="D10" s="545"/>
      <c r="E10" s="546"/>
    </row>
    <row r="11" spans="1:5" s="418" customFormat="1" ht="15.95" customHeight="1">
      <c r="A11" s="530" t="s">
        <v>461</v>
      </c>
      <c r="B11" s="545">
        <v>13.6</v>
      </c>
      <c r="C11" s="545">
        <v>12.6</v>
      </c>
      <c r="D11" s="545">
        <v>12.4</v>
      </c>
      <c r="E11" s="546">
        <v>13.4</v>
      </c>
    </row>
    <row r="12" spans="1:5" s="418" customFormat="1" ht="24.95" customHeight="1">
      <c r="A12" s="422" t="s">
        <v>134</v>
      </c>
      <c r="B12" s="545"/>
      <c r="C12" s="545"/>
      <c r="D12" s="545"/>
      <c r="E12" s="546"/>
    </row>
    <row r="13" spans="1:5" s="418" customFormat="1" ht="39.95" customHeight="1">
      <c r="A13" s="432" t="s">
        <v>462</v>
      </c>
      <c r="B13" s="545"/>
      <c r="C13" s="545"/>
      <c r="D13" s="545"/>
      <c r="E13" s="546"/>
    </row>
    <row r="14" spans="1:5" s="418" customFormat="1" ht="12" customHeight="1">
      <c r="A14" s="530" t="s">
        <v>463</v>
      </c>
      <c r="B14" s="545">
        <v>13.2</v>
      </c>
      <c r="C14" s="545">
        <v>11.9</v>
      </c>
      <c r="D14" s="545">
        <v>12.1</v>
      </c>
      <c r="E14" s="546">
        <v>10.5</v>
      </c>
    </row>
    <row r="15" spans="1:5" s="418" customFormat="1" ht="39" customHeight="1">
      <c r="A15" s="422" t="s">
        <v>135</v>
      </c>
      <c r="B15" s="545"/>
      <c r="C15" s="545"/>
      <c r="D15" s="545"/>
      <c r="E15" s="546"/>
    </row>
    <row r="16" spans="1:5" s="418" customFormat="1" ht="12" customHeight="1">
      <c r="A16" s="432" t="s">
        <v>464</v>
      </c>
      <c r="B16" s="545"/>
      <c r="C16" s="545"/>
      <c r="D16" s="545"/>
      <c r="E16" s="546"/>
    </row>
    <row r="17" spans="1:5" s="418" customFormat="1" ht="12" customHeight="1">
      <c r="A17" s="530" t="s">
        <v>465</v>
      </c>
      <c r="B17" s="545">
        <v>6.2</v>
      </c>
      <c r="C17" s="545">
        <v>5.5</v>
      </c>
      <c r="D17" s="545">
        <v>5.4</v>
      </c>
      <c r="E17" s="546" t="s">
        <v>575</v>
      </c>
    </row>
    <row r="18" spans="1:5" s="418" customFormat="1" ht="24.95" customHeight="1">
      <c r="A18" s="422" t="s">
        <v>136</v>
      </c>
      <c r="B18" s="545"/>
      <c r="C18" s="545"/>
      <c r="D18" s="545"/>
      <c r="E18" s="546"/>
    </row>
    <row r="19" spans="1:6" ht="15" customHeight="1">
      <c r="A19" s="530" t="s">
        <v>466</v>
      </c>
      <c r="B19" s="545">
        <v>6.5</v>
      </c>
      <c r="C19" s="545">
        <v>6.8</v>
      </c>
      <c r="D19" s="545">
        <v>6.9</v>
      </c>
      <c r="E19" s="547">
        <v>6.2</v>
      </c>
      <c r="F19" s="107"/>
    </row>
    <row r="20" spans="1:5" ht="24.95" customHeight="1">
      <c r="A20" s="534" t="s">
        <v>137</v>
      </c>
      <c r="B20" s="543"/>
      <c r="C20" s="543"/>
      <c r="D20" s="543"/>
      <c r="E20" s="543"/>
    </row>
    <row r="21" spans="1:5" ht="12" customHeight="1">
      <c r="A21" s="530" t="s">
        <v>467</v>
      </c>
      <c r="B21" s="548">
        <v>80.7</v>
      </c>
      <c r="C21" s="548">
        <v>80.6</v>
      </c>
      <c r="D21" s="548">
        <v>81.1</v>
      </c>
      <c r="E21" s="548">
        <v>78.3</v>
      </c>
    </row>
    <row r="22" spans="1:5" ht="12" customHeight="1">
      <c r="A22" s="534" t="s">
        <v>138</v>
      </c>
      <c r="B22" s="436"/>
      <c r="C22" s="436"/>
      <c r="D22" s="436"/>
      <c r="E22" s="436"/>
    </row>
    <row r="23" spans="1:5" ht="12" customHeight="1">
      <c r="A23" s="530" t="s">
        <v>468</v>
      </c>
      <c r="B23" s="548">
        <v>17.2</v>
      </c>
      <c r="C23" s="548">
        <v>6.7</v>
      </c>
      <c r="D23" s="548">
        <v>6.8</v>
      </c>
      <c r="E23" s="548">
        <v>6.7</v>
      </c>
    </row>
    <row r="24" spans="1:5" ht="12" customHeight="1">
      <c r="A24" s="534" t="s">
        <v>139</v>
      </c>
      <c r="B24" s="436"/>
      <c r="C24" s="436"/>
      <c r="D24" s="436"/>
      <c r="E24" s="436"/>
    </row>
    <row r="25" spans="1:5" ht="12" customHeight="1">
      <c r="A25" s="530" t="s">
        <v>469</v>
      </c>
      <c r="B25" s="548">
        <v>7.2</v>
      </c>
      <c r="C25" s="548">
        <v>11.9</v>
      </c>
      <c r="D25" s="548">
        <v>11.8</v>
      </c>
      <c r="E25" s="548">
        <v>12.3</v>
      </c>
    </row>
    <row r="26" spans="1:5" ht="12" customHeight="1">
      <c r="A26" s="534" t="s">
        <v>140</v>
      </c>
      <c r="B26" s="548"/>
      <c r="C26" s="548"/>
      <c r="D26" s="548"/>
      <c r="E26" s="548"/>
    </row>
    <row r="27" spans="1:5" ht="12" customHeight="1">
      <c r="A27" s="530" t="s">
        <v>470</v>
      </c>
      <c r="B27" s="548">
        <v>86.4</v>
      </c>
      <c r="C27" s="548">
        <v>85.2</v>
      </c>
      <c r="D27" s="548">
        <v>85.8</v>
      </c>
      <c r="E27" s="548">
        <v>82</v>
      </c>
    </row>
    <row r="28" spans="1:5" ht="12" customHeight="1">
      <c r="A28" s="534" t="s">
        <v>141</v>
      </c>
      <c r="B28" s="548"/>
      <c r="C28" s="548"/>
      <c r="D28" s="548"/>
      <c r="E28" s="548"/>
    </row>
    <row r="29" spans="1:5" ht="12" customHeight="1">
      <c r="A29" s="530" t="s">
        <v>471</v>
      </c>
      <c r="B29" s="548">
        <v>76.9</v>
      </c>
      <c r="C29" s="548">
        <v>77</v>
      </c>
      <c r="D29" s="548">
        <v>77.1</v>
      </c>
      <c r="E29" s="548">
        <v>76.8</v>
      </c>
    </row>
    <row r="30" spans="1:5" ht="12" customHeight="1">
      <c r="A30" s="534" t="s">
        <v>142</v>
      </c>
      <c r="B30" s="548"/>
      <c r="C30" s="548"/>
      <c r="D30" s="548"/>
      <c r="E30" s="548"/>
    </row>
    <row r="31" ht="9.95" customHeight="1"/>
    <row r="32" spans="1:5" ht="17.25" customHeight="1">
      <c r="A32" s="609" t="s">
        <v>143</v>
      </c>
      <c r="B32" s="609"/>
      <c r="C32" s="609"/>
      <c r="D32" s="609"/>
      <c r="E32" s="609"/>
    </row>
    <row r="33" spans="1:5" ht="15">
      <c r="A33" s="608" t="s">
        <v>144</v>
      </c>
      <c r="B33" s="608"/>
      <c r="C33" s="608"/>
      <c r="D33" s="608"/>
      <c r="E33" s="608"/>
    </row>
  </sheetData>
  <mergeCells count="7">
    <mergeCell ref="B6:E6"/>
    <mergeCell ref="A32:E32"/>
    <mergeCell ref="A33:E33"/>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7" r:id="rId1"/>
  <headerFooter>
    <oddFooter>&amp;R&amp;"Arial,Normalny"&amp;10 85</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Layout" zoomScale="70" zoomScalePageLayoutView="70" workbookViewId="0" topLeftCell="A16">
      <selection activeCell="E31" sqref="E31"/>
    </sheetView>
  </sheetViews>
  <sheetFormatPr defaultColWidth="9.140625" defaultRowHeight="15"/>
  <cols>
    <col min="1" max="1" width="34.7109375" style="96" customWidth="1"/>
    <col min="2" max="5" width="12.7109375" style="96" customWidth="1"/>
    <col min="6" max="10" width="6.28125" style="96" customWidth="1"/>
    <col min="11" max="16384" width="9.140625" style="96" customWidth="1"/>
  </cols>
  <sheetData>
    <row r="1" spans="1:5" ht="27.95" customHeight="1">
      <c r="A1" s="584" t="s">
        <v>472</v>
      </c>
      <c r="B1" s="584"/>
      <c r="C1" s="584"/>
      <c r="D1" s="584"/>
      <c r="E1" s="584"/>
    </row>
    <row r="2" spans="1:5" ht="27.95" customHeight="1">
      <c r="A2" s="579" t="s">
        <v>473</v>
      </c>
      <c r="B2" s="579"/>
      <c r="C2" s="579"/>
      <c r="D2" s="579"/>
      <c r="E2" s="579"/>
    </row>
    <row r="3" spans="1:5" ht="9.95" customHeight="1">
      <c r="A3" s="97"/>
      <c r="B3" s="97"/>
      <c r="C3" s="97"/>
      <c r="D3" s="97"/>
      <c r="E3" s="97"/>
    </row>
    <row r="4" spans="1:5" ht="33.75" customHeight="1">
      <c r="A4" s="625" t="s">
        <v>865</v>
      </c>
      <c r="B4" s="639" t="s">
        <v>796</v>
      </c>
      <c r="C4" s="640"/>
      <c r="D4" s="640"/>
      <c r="E4" s="640"/>
    </row>
    <row r="5" spans="1:5" ht="81" customHeight="1">
      <c r="A5" s="685"/>
      <c r="B5" s="411" t="s">
        <v>839</v>
      </c>
      <c r="C5" s="411" t="s">
        <v>798</v>
      </c>
      <c r="D5" s="411" t="s">
        <v>799</v>
      </c>
      <c r="E5" s="412" t="s">
        <v>800</v>
      </c>
    </row>
    <row r="6" spans="1:5" ht="32.1" customHeight="1">
      <c r="A6" s="476"/>
      <c r="B6" s="688" t="s">
        <v>866</v>
      </c>
      <c r="C6" s="689"/>
      <c r="D6" s="689"/>
      <c r="E6" s="689"/>
    </row>
    <row r="7" spans="1:5" s="418" customFormat="1" ht="15.95" customHeight="1">
      <c r="A7" s="421" t="s">
        <v>474</v>
      </c>
      <c r="B7" s="551">
        <v>15.683323041916768</v>
      </c>
      <c r="C7" s="468">
        <v>10.163972913130756</v>
      </c>
      <c r="D7" s="551">
        <v>11.200594369762161</v>
      </c>
      <c r="E7" s="466">
        <v>4.965096754801464</v>
      </c>
    </row>
    <row r="8" spans="1:5" ht="15.95" customHeight="1">
      <c r="A8" s="534" t="s">
        <v>147</v>
      </c>
      <c r="B8" s="549"/>
      <c r="C8" s="549"/>
      <c r="D8" s="549"/>
      <c r="E8" s="549"/>
    </row>
    <row r="9" spans="1:5" ht="15.95" customHeight="1">
      <c r="A9" s="421" t="s">
        <v>475</v>
      </c>
      <c r="B9" s="551">
        <v>21.51750253109899</v>
      </c>
      <c r="C9" s="468">
        <v>15.30752728933153</v>
      </c>
      <c r="D9" s="551">
        <v>16.45142032104957</v>
      </c>
      <c r="E9" s="466">
        <v>9.570666763404194</v>
      </c>
    </row>
    <row r="10" spans="1:5" ht="15.95" customHeight="1">
      <c r="A10" s="534" t="s">
        <v>154</v>
      </c>
      <c r="B10" s="453"/>
      <c r="C10" s="453"/>
      <c r="D10" s="453"/>
      <c r="E10" s="453"/>
    </row>
    <row r="11" spans="1:5" ht="15.95" customHeight="1">
      <c r="A11" s="421" t="s">
        <v>476</v>
      </c>
      <c r="B11" s="551">
        <v>51.6157548569837</v>
      </c>
      <c r="C11" s="468">
        <v>58.00270954846602</v>
      </c>
      <c r="D11" s="551">
        <v>58.26099828183532</v>
      </c>
      <c r="E11" s="466">
        <v>56.70753827178409</v>
      </c>
    </row>
    <row r="12" spans="1:5" ht="15.95" customHeight="1">
      <c r="A12" s="534" t="s">
        <v>155</v>
      </c>
      <c r="B12" s="453"/>
      <c r="C12" s="453"/>
      <c r="D12" s="453"/>
      <c r="E12" s="453"/>
    </row>
    <row r="13" spans="1:5" ht="15.95" customHeight="1">
      <c r="A13" s="421" t="s">
        <v>477</v>
      </c>
      <c r="B13" s="551">
        <v>8.366553240027764</v>
      </c>
      <c r="C13" s="468">
        <v>12.594554195277027</v>
      </c>
      <c r="D13" s="551">
        <v>10.860164748510135</v>
      </c>
      <c r="E13" s="466">
        <v>21.292922958924553</v>
      </c>
    </row>
    <row r="14" spans="1:5" ht="15.95" customHeight="1">
      <c r="A14" s="534" t="s">
        <v>156</v>
      </c>
      <c r="B14" s="453"/>
      <c r="C14" s="453"/>
      <c r="D14" s="453"/>
      <c r="E14" s="453"/>
    </row>
    <row r="15" spans="1:5" ht="15.95" customHeight="1">
      <c r="A15" s="421" t="s">
        <v>478</v>
      </c>
      <c r="B15" s="551">
        <v>2.8168663299727803</v>
      </c>
      <c r="C15" s="468">
        <v>3.93123605379466</v>
      </c>
      <c r="D15" s="551">
        <v>3.2268481120209267</v>
      </c>
      <c r="E15" s="466">
        <v>7.463904810273525</v>
      </c>
    </row>
    <row r="16" spans="1:5" ht="15.95" customHeight="1">
      <c r="A16" s="534" t="s">
        <v>150</v>
      </c>
      <c r="B16" s="453"/>
      <c r="C16" s="453"/>
      <c r="D16" s="453"/>
      <c r="E16" s="453"/>
    </row>
    <row r="17" ht="9" customHeight="1"/>
    <row r="18" ht="15">
      <c r="A18" s="504" t="s">
        <v>157</v>
      </c>
    </row>
    <row r="19" ht="15">
      <c r="A19" s="540" t="s">
        <v>158</v>
      </c>
    </row>
    <row r="21" spans="1:5" ht="15">
      <c r="A21" s="584" t="s">
        <v>145</v>
      </c>
      <c r="B21" s="584"/>
      <c r="C21" s="584"/>
      <c r="D21" s="584"/>
      <c r="E21" s="584"/>
    </row>
    <row r="22" spans="1:5" ht="15">
      <c r="A22" s="579" t="s">
        <v>479</v>
      </c>
      <c r="B22" s="579"/>
      <c r="C22" s="579"/>
      <c r="D22" s="579"/>
      <c r="E22" s="579"/>
    </row>
    <row r="23" spans="1:5" ht="9.95" customHeight="1">
      <c r="A23" s="97"/>
      <c r="B23" s="97"/>
      <c r="C23" s="97"/>
      <c r="D23" s="97"/>
      <c r="E23" s="97"/>
    </row>
    <row r="24" spans="1:5" ht="33.75" customHeight="1">
      <c r="A24" s="625" t="s">
        <v>602</v>
      </c>
      <c r="B24" s="639" t="s">
        <v>796</v>
      </c>
      <c r="C24" s="640"/>
      <c r="D24" s="640"/>
      <c r="E24" s="640"/>
    </row>
    <row r="25" spans="1:5" ht="81" customHeight="1">
      <c r="A25" s="627"/>
      <c r="B25" s="411" t="s">
        <v>839</v>
      </c>
      <c r="C25" s="411" t="s">
        <v>798</v>
      </c>
      <c r="D25" s="411" t="s">
        <v>799</v>
      </c>
      <c r="E25" s="412" t="s">
        <v>800</v>
      </c>
    </row>
    <row r="26" spans="1:5" ht="18" customHeight="1">
      <c r="A26" s="476"/>
      <c r="B26" s="688" t="s">
        <v>146</v>
      </c>
      <c r="C26" s="689"/>
      <c r="D26" s="689"/>
      <c r="E26" s="689"/>
    </row>
    <row r="27" spans="1:5" ht="15">
      <c r="A27" s="421" t="s">
        <v>480</v>
      </c>
      <c r="B27" s="552">
        <v>17.3</v>
      </c>
      <c r="C27" s="552">
        <v>5.7</v>
      </c>
      <c r="D27" s="552">
        <v>5.9</v>
      </c>
      <c r="E27" s="553" t="s">
        <v>576</v>
      </c>
    </row>
    <row r="28" spans="1:5" ht="15">
      <c r="A28" s="534" t="s">
        <v>147</v>
      </c>
      <c r="B28" s="554"/>
      <c r="C28" s="554"/>
      <c r="D28" s="554"/>
      <c r="E28" s="555"/>
    </row>
    <row r="29" spans="1:5" ht="15">
      <c r="A29" s="421" t="s">
        <v>481</v>
      </c>
      <c r="B29" s="556">
        <v>43.3</v>
      </c>
      <c r="C29" s="556">
        <v>25.5</v>
      </c>
      <c r="D29" s="556">
        <v>26.7</v>
      </c>
      <c r="E29" s="557">
        <v>18.2</v>
      </c>
    </row>
    <row r="30" spans="1:5" ht="15">
      <c r="A30" s="534" t="s">
        <v>148</v>
      </c>
      <c r="B30" s="554"/>
      <c r="C30" s="554"/>
      <c r="D30" s="554"/>
      <c r="E30" s="555"/>
    </row>
    <row r="31" spans="1:5" ht="15">
      <c r="A31" s="421" t="s">
        <v>482</v>
      </c>
      <c r="B31" s="552">
        <v>26.4</v>
      </c>
      <c r="C31" s="552">
        <v>40.9</v>
      </c>
      <c r="D31" s="552">
        <v>41.2</v>
      </c>
      <c r="E31" s="558">
        <v>39.2</v>
      </c>
    </row>
    <row r="32" spans="1:5" ht="15">
      <c r="A32" s="534" t="s">
        <v>149</v>
      </c>
      <c r="B32" s="554"/>
      <c r="C32" s="554"/>
      <c r="D32" s="554"/>
      <c r="E32" s="555"/>
    </row>
    <row r="33" spans="1:5" ht="15">
      <c r="A33" s="421" t="s">
        <v>483</v>
      </c>
      <c r="B33" s="552">
        <v>10.4</v>
      </c>
      <c r="C33" s="552">
        <v>21.6</v>
      </c>
      <c r="D33" s="552">
        <v>20.4</v>
      </c>
      <c r="E33" s="558">
        <v>28</v>
      </c>
    </row>
    <row r="34" spans="1:5" ht="15">
      <c r="A34" s="534" t="s">
        <v>150</v>
      </c>
      <c r="B34" s="554"/>
      <c r="C34" s="554"/>
      <c r="D34" s="554"/>
      <c r="E34" s="555"/>
    </row>
    <row r="35" spans="1:5" ht="15">
      <c r="A35" s="421" t="s">
        <v>484</v>
      </c>
      <c r="B35" s="552">
        <v>2.5</v>
      </c>
      <c r="C35" s="552">
        <v>6.4</v>
      </c>
      <c r="D35" s="552">
        <v>5.8</v>
      </c>
      <c r="E35" s="558">
        <v>10.2</v>
      </c>
    </row>
    <row r="36" spans="1:5" ht="15">
      <c r="A36" s="534" t="s">
        <v>151</v>
      </c>
      <c r="B36" s="559"/>
      <c r="C36" s="559"/>
      <c r="D36" s="559"/>
      <c r="E36" s="560"/>
    </row>
    <row r="38" ht="15">
      <c r="A38" s="133" t="s">
        <v>152</v>
      </c>
    </row>
    <row r="39" ht="15">
      <c r="A39" s="550" t="s">
        <v>153</v>
      </c>
    </row>
    <row r="41" spans="1:5" ht="15">
      <c r="A41" s="609" t="s">
        <v>143</v>
      </c>
      <c r="B41" s="609"/>
      <c r="C41" s="609"/>
      <c r="D41" s="609"/>
      <c r="E41" s="609"/>
    </row>
    <row r="42" spans="1:5" ht="15">
      <c r="A42" s="608" t="s">
        <v>144</v>
      </c>
      <c r="B42" s="608"/>
      <c r="C42" s="608"/>
      <c r="D42" s="608"/>
      <c r="E42" s="608"/>
    </row>
  </sheetData>
  <mergeCells count="12">
    <mergeCell ref="A41:E41"/>
    <mergeCell ref="A42:E42"/>
    <mergeCell ref="A21:E21"/>
    <mergeCell ref="A22:E22"/>
    <mergeCell ref="A24:A25"/>
    <mergeCell ref="B24:E24"/>
    <mergeCell ref="B26:E26"/>
    <mergeCell ref="B6:E6"/>
    <mergeCell ref="A1:E1"/>
    <mergeCell ref="A2:E2"/>
    <mergeCell ref="B4:E4"/>
    <mergeCell ref="A4:A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4" r:id="rId1"/>
  <headerFooter>
    <oddFooter>&amp;L&amp;"Arial,Normalny"&amp;10 86</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Layout" workbookViewId="0" topLeftCell="A18">
      <selection activeCell="E31" sqref="E31"/>
    </sheetView>
  </sheetViews>
  <sheetFormatPr defaultColWidth="9.140625" defaultRowHeight="15"/>
  <cols>
    <col min="1" max="1" width="24.7109375" style="96" customWidth="1"/>
    <col min="2" max="2" width="7.28125" style="96" customWidth="1"/>
    <col min="3" max="6" width="13.7109375" style="96" customWidth="1"/>
    <col min="7" max="11" width="6.28125" style="96" customWidth="1"/>
    <col min="12" max="16384" width="9.140625" style="96" customWidth="1"/>
  </cols>
  <sheetData>
    <row r="1" spans="1:6" ht="27.95" customHeight="1">
      <c r="A1" s="584" t="s">
        <v>874</v>
      </c>
      <c r="B1" s="584"/>
      <c r="C1" s="584"/>
      <c r="D1" s="584"/>
      <c r="E1" s="584"/>
      <c r="F1" s="584"/>
    </row>
    <row r="2" spans="1:6" ht="27.95" customHeight="1">
      <c r="A2" s="579" t="s">
        <v>941</v>
      </c>
      <c r="B2" s="579"/>
      <c r="C2" s="579"/>
      <c r="D2" s="579"/>
      <c r="E2" s="579"/>
      <c r="F2" s="579"/>
    </row>
    <row r="3" spans="1:6" ht="9.95" customHeight="1">
      <c r="A3" s="97"/>
      <c r="B3" s="97"/>
      <c r="C3" s="97"/>
      <c r="D3" s="97"/>
      <c r="E3" s="97"/>
      <c r="F3" s="97"/>
    </row>
    <row r="4" spans="1:6" ht="75.75" customHeight="1">
      <c r="A4" s="613" t="s">
        <v>602</v>
      </c>
      <c r="B4" s="614"/>
      <c r="C4" s="98" t="s">
        <v>620</v>
      </c>
      <c r="D4" s="98" t="s">
        <v>621</v>
      </c>
      <c r="E4" s="98" t="s">
        <v>622</v>
      </c>
      <c r="F4" s="99" t="s">
        <v>614</v>
      </c>
    </row>
    <row r="5" spans="1:6" ht="21" customHeight="1">
      <c r="A5" s="612" t="s">
        <v>952</v>
      </c>
      <c r="B5" s="612"/>
      <c r="C5" s="612"/>
      <c r="D5" s="612"/>
      <c r="E5" s="612"/>
      <c r="F5" s="612"/>
    </row>
    <row r="6" spans="1:6" ht="13.5">
      <c r="A6" s="57" t="s">
        <v>606</v>
      </c>
      <c r="B6" s="65">
        <v>2017</v>
      </c>
      <c r="C6" s="83">
        <v>7358.2</v>
      </c>
      <c r="D6" s="83">
        <v>5230.6</v>
      </c>
      <c r="E6" s="100">
        <v>875.7</v>
      </c>
      <c r="F6" s="84">
        <v>1251.9</v>
      </c>
    </row>
    <row r="7" spans="1:6" ht="13.5">
      <c r="A7" s="61" t="s">
        <v>607</v>
      </c>
      <c r="B7" s="56">
        <v>2016</v>
      </c>
      <c r="C7" s="101">
        <v>7312.8</v>
      </c>
      <c r="D7" s="101">
        <v>5119.4</v>
      </c>
      <c r="E7" s="62">
        <v>933.9</v>
      </c>
      <c r="F7" s="90">
        <v>1259.4</v>
      </c>
    </row>
    <row r="8" spans="1:6" ht="14.1" customHeight="1">
      <c r="A8" s="102"/>
      <c r="B8" s="102"/>
      <c r="C8" s="103"/>
      <c r="D8" s="103"/>
      <c r="E8" s="103"/>
      <c r="F8" s="104"/>
    </row>
    <row r="9" spans="1:6" ht="15" customHeight="1">
      <c r="A9" s="611" t="s">
        <v>875</v>
      </c>
      <c r="B9" s="611"/>
      <c r="C9" s="105">
        <v>750.7</v>
      </c>
      <c r="D9" s="105">
        <v>551</v>
      </c>
      <c r="E9" s="105">
        <v>77.6</v>
      </c>
      <c r="F9" s="106">
        <v>122.1</v>
      </c>
    </row>
    <row r="10" spans="1:6" ht="15" customHeight="1">
      <c r="A10" s="611" t="s">
        <v>868</v>
      </c>
      <c r="B10" s="611"/>
      <c r="C10" s="105">
        <v>1737.8</v>
      </c>
      <c r="D10" s="105">
        <v>1210.7</v>
      </c>
      <c r="E10" s="105">
        <v>199.5</v>
      </c>
      <c r="F10" s="106">
        <v>327.6</v>
      </c>
    </row>
    <row r="11" spans="1:6" ht="15" customHeight="1">
      <c r="A11" s="611" t="s">
        <v>876</v>
      </c>
      <c r="B11" s="611"/>
      <c r="C11" s="105">
        <v>911.6</v>
      </c>
      <c r="D11" s="105">
        <v>643.7</v>
      </c>
      <c r="E11" s="105">
        <v>123.3</v>
      </c>
      <c r="F11" s="106">
        <v>144.6</v>
      </c>
    </row>
    <row r="12" spans="1:6" ht="15" customHeight="1">
      <c r="A12" s="611" t="s">
        <v>877</v>
      </c>
      <c r="B12" s="611"/>
      <c r="C12" s="105">
        <v>1170.4</v>
      </c>
      <c r="D12" s="105">
        <v>805.4</v>
      </c>
      <c r="E12" s="105">
        <v>164.2</v>
      </c>
      <c r="F12" s="106">
        <v>200.8</v>
      </c>
    </row>
    <row r="13" spans="1:6" ht="15" customHeight="1">
      <c r="A13" s="611" t="s">
        <v>878</v>
      </c>
      <c r="B13" s="611"/>
      <c r="C13" s="105">
        <v>780.1</v>
      </c>
      <c r="D13" s="105">
        <v>569.4</v>
      </c>
      <c r="E13" s="105">
        <v>80.1</v>
      </c>
      <c r="F13" s="106">
        <v>130.6</v>
      </c>
    </row>
    <row r="14" spans="1:6" ht="15" customHeight="1">
      <c r="A14" s="611" t="s">
        <v>879</v>
      </c>
      <c r="B14" s="611"/>
      <c r="C14" s="105">
        <v>1053.7</v>
      </c>
      <c r="D14" s="105">
        <v>729.6</v>
      </c>
      <c r="E14" s="105">
        <v>139.1</v>
      </c>
      <c r="F14" s="106">
        <v>185.1</v>
      </c>
    </row>
    <row r="15" spans="1:6" ht="15" customHeight="1">
      <c r="A15" s="611" t="s">
        <v>880</v>
      </c>
      <c r="B15" s="611"/>
      <c r="C15" s="105">
        <v>953.8</v>
      </c>
      <c r="D15" s="105">
        <v>720.8</v>
      </c>
      <c r="E15" s="105">
        <v>91.8</v>
      </c>
      <c r="F15" s="106">
        <v>141.1</v>
      </c>
    </row>
    <row r="16" spans="1:6" s="107" customFormat="1" ht="19.5" customHeight="1">
      <c r="A16" s="610" t="s">
        <v>560</v>
      </c>
      <c r="B16" s="610"/>
      <c r="C16" s="610"/>
      <c r="D16" s="610"/>
      <c r="E16" s="610"/>
      <c r="F16" s="610"/>
    </row>
    <row r="17" spans="1:6" ht="13.5">
      <c r="A17" s="57" t="s">
        <v>606</v>
      </c>
      <c r="B17" s="108">
        <v>2017</v>
      </c>
      <c r="C17" s="100">
        <f>C6/C7*100</f>
        <v>100.62082923093753</v>
      </c>
      <c r="D17" s="100">
        <f>D6/D7*100</f>
        <v>102.17212954643125</v>
      </c>
      <c r="E17" s="100">
        <f>E6/E7*100</f>
        <v>93.76806938644395</v>
      </c>
      <c r="F17" s="109">
        <f>F6/F7*100</f>
        <v>99.40447832301096</v>
      </c>
    </row>
    <row r="18" spans="1:6" ht="13.5">
      <c r="A18" s="61" t="s">
        <v>607</v>
      </c>
      <c r="B18" s="54"/>
      <c r="C18" s="64"/>
      <c r="D18" s="64"/>
      <c r="E18" s="64"/>
      <c r="F18" s="76"/>
    </row>
    <row r="19" spans="1:6" ht="15">
      <c r="A19" s="61"/>
      <c r="B19" s="56"/>
      <c r="C19" s="64"/>
      <c r="D19" s="64"/>
      <c r="E19" s="64"/>
      <c r="F19" s="76"/>
    </row>
    <row r="20" spans="1:6" ht="15" customHeight="1">
      <c r="A20" s="611" t="s">
        <v>875</v>
      </c>
      <c r="B20" s="611"/>
      <c r="C20" s="110">
        <f>C9/746.253*100</f>
        <v>100.59591050220233</v>
      </c>
      <c r="D20" s="110">
        <f>D9/540.284*100</f>
        <v>101.98340132226755</v>
      </c>
      <c r="E20" s="110">
        <f>E9/82.841*100</f>
        <v>93.67342258060623</v>
      </c>
      <c r="F20" s="111">
        <v>99.1</v>
      </c>
    </row>
    <row r="21" spans="1:6" ht="15" customHeight="1">
      <c r="A21" s="611" t="s">
        <v>868</v>
      </c>
      <c r="B21" s="611"/>
      <c r="C21" s="110">
        <f>C10/1732.615*100</f>
        <v>100.29925863506894</v>
      </c>
      <c r="D21" s="110">
        <f>D10/1191.288*100</f>
        <v>101.62949681353292</v>
      </c>
      <c r="E21" s="110">
        <f>E10/212.276*100</f>
        <v>93.9814204149315</v>
      </c>
      <c r="F21" s="111">
        <f>F10/329.051*100</f>
        <v>99.5590349216383</v>
      </c>
    </row>
    <row r="22" spans="1:6" ht="15" customHeight="1">
      <c r="A22" s="611" t="s">
        <v>876</v>
      </c>
      <c r="B22" s="611"/>
      <c r="C22" s="110">
        <f>C11/904.088*100</f>
        <v>100.83089256798013</v>
      </c>
      <c r="D22" s="110">
        <f>D11/626.438*100</f>
        <v>102.7555799616243</v>
      </c>
      <c r="E22" s="110">
        <f>E11/132.413*100</f>
        <v>93.1177452364949</v>
      </c>
      <c r="F22" s="111">
        <v>99.5</v>
      </c>
    </row>
    <row r="23" spans="1:6" ht="15" customHeight="1">
      <c r="A23" s="611" t="s">
        <v>877</v>
      </c>
      <c r="B23" s="611"/>
      <c r="C23" s="110">
        <f>C12/1160.832*100</f>
        <v>100.8242364097475</v>
      </c>
      <c r="D23" s="110">
        <f>D12/784.436*100</f>
        <v>102.67249335828544</v>
      </c>
      <c r="E23" s="110">
        <f>E12/174.629*100</f>
        <v>94.02791059904139</v>
      </c>
      <c r="F23" s="111">
        <f>F12/201.769*100</f>
        <v>99.51974783043977</v>
      </c>
    </row>
    <row r="24" spans="1:6" ht="15" customHeight="1">
      <c r="A24" s="611" t="s">
        <v>878</v>
      </c>
      <c r="B24" s="611"/>
      <c r="C24" s="110">
        <f>C13/777.271*100</f>
        <v>100.36396572109342</v>
      </c>
      <c r="D24" s="110">
        <f>D13/559.426*100</f>
        <v>101.78289889994386</v>
      </c>
      <c r="E24" s="110">
        <f>E13/85.922*100</f>
        <v>93.22408696259397</v>
      </c>
      <c r="F24" s="111">
        <f>F13/131.923*100</f>
        <v>98.99714227238616</v>
      </c>
    </row>
    <row r="25" spans="1:6" ht="15" customHeight="1">
      <c r="A25" s="611" t="s">
        <v>879</v>
      </c>
      <c r="B25" s="611"/>
      <c r="C25" s="110">
        <f>C14/1045.614*100</f>
        <v>100.77332552930622</v>
      </c>
      <c r="D25" s="110">
        <f>D14/710.88*100</f>
        <v>102.6333558406482</v>
      </c>
      <c r="E25" s="110">
        <f>E14/148.466*100</f>
        <v>93.69148491910605</v>
      </c>
      <c r="F25" s="111">
        <f>F14/186.267*100</f>
        <v>99.37348000450964</v>
      </c>
    </row>
    <row r="26" spans="1:6" ht="15" customHeight="1">
      <c r="A26" s="611" t="s">
        <v>881</v>
      </c>
      <c r="B26" s="615"/>
      <c r="C26" s="110">
        <f>C15/945.978*100</f>
        <v>100.82686912380628</v>
      </c>
      <c r="D26" s="110">
        <f>D15/706.665*100</f>
        <v>102.0002405666051</v>
      </c>
      <c r="E26" s="110">
        <v>94.3</v>
      </c>
      <c r="F26" s="111">
        <v>99.4</v>
      </c>
    </row>
    <row r="28" spans="1:6" ht="60.75" customHeight="1">
      <c r="A28" s="609" t="s">
        <v>623</v>
      </c>
      <c r="B28" s="609"/>
      <c r="C28" s="609"/>
      <c r="D28" s="609"/>
      <c r="E28" s="609"/>
      <c r="F28" s="609"/>
    </row>
    <row r="29" spans="1:6" ht="63.75" customHeight="1">
      <c r="A29" s="608" t="s">
        <v>222</v>
      </c>
      <c r="B29" s="608"/>
      <c r="C29" s="608"/>
      <c r="D29" s="608"/>
      <c r="E29" s="608"/>
      <c r="F29" s="608"/>
    </row>
  </sheetData>
  <mergeCells count="21">
    <mergeCell ref="A25:B25"/>
    <mergeCell ref="A28:F28"/>
    <mergeCell ref="A29:F29"/>
    <mergeCell ref="A20:B20"/>
    <mergeCell ref="A21:B21"/>
    <mergeCell ref="A22:B22"/>
    <mergeCell ref="A23:B23"/>
    <mergeCell ref="A24:B24"/>
    <mergeCell ref="A26:B26"/>
    <mergeCell ref="A16:F16"/>
    <mergeCell ref="A1:F1"/>
    <mergeCell ref="A2:F2"/>
    <mergeCell ref="A12:B12"/>
    <mergeCell ref="A14:B14"/>
    <mergeCell ref="A15:B15"/>
    <mergeCell ref="A9:B9"/>
    <mergeCell ref="A10:B10"/>
    <mergeCell ref="A11:B11"/>
    <mergeCell ref="A5:F5"/>
    <mergeCell ref="A4:B4"/>
    <mergeCell ref="A13:B13"/>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&amp;L40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Layout" workbookViewId="0" topLeftCell="A23">
      <selection activeCell="E31" sqref="E31"/>
    </sheetView>
  </sheetViews>
  <sheetFormatPr defaultColWidth="9.140625" defaultRowHeight="15"/>
  <cols>
    <col min="1" max="1" width="17.57421875" style="46" customWidth="1"/>
    <col min="2" max="2" width="10.57421875" style="46" customWidth="1"/>
    <col min="3" max="6" width="14.7109375" style="46" customWidth="1"/>
    <col min="7" max="16384" width="9.140625" style="46" customWidth="1"/>
  </cols>
  <sheetData>
    <row r="1" spans="1:6" ht="27.95" customHeight="1">
      <c r="A1" s="584" t="s">
        <v>263</v>
      </c>
      <c r="B1" s="584"/>
      <c r="C1" s="584"/>
      <c r="D1" s="584"/>
      <c r="E1" s="584"/>
      <c r="F1" s="584"/>
    </row>
    <row r="2" spans="1:9" ht="27.95" customHeight="1">
      <c r="A2" s="579" t="s">
        <v>264</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603</v>
      </c>
      <c r="D4" s="590"/>
      <c r="E4" s="589" t="s">
        <v>604</v>
      </c>
      <c r="F4" s="591"/>
    </row>
    <row r="5" spans="1:6" ht="33.75" customHeight="1">
      <c r="A5" s="598"/>
      <c r="B5" s="593"/>
      <c r="C5" s="50" t="s">
        <v>605</v>
      </c>
      <c r="D5" s="50" t="s">
        <v>560</v>
      </c>
      <c r="E5" s="50" t="s">
        <v>605</v>
      </c>
      <c r="F5" s="51" t="s">
        <v>560</v>
      </c>
    </row>
    <row r="6" spans="1:6" ht="15">
      <c r="A6" s="600"/>
      <c r="B6" s="601"/>
      <c r="C6" s="55"/>
      <c r="D6" s="56"/>
      <c r="E6" s="55"/>
      <c r="F6" s="56"/>
    </row>
    <row r="7" spans="1:6" ht="13.5">
      <c r="A7" s="57" t="s">
        <v>606</v>
      </c>
      <c r="B7" s="65">
        <v>2017</v>
      </c>
      <c r="C7" s="58">
        <v>1175305</v>
      </c>
      <c r="D7" s="60">
        <f>C7/1194415*100</f>
        <v>98.40005358271623</v>
      </c>
      <c r="E7" s="58">
        <v>918433</v>
      </c>
      <c r="F7" s="120">
        <f>E7/934271*100</f>
        <v>98.30477452473639</v>
      </c>
    </row>
    <row r="8" spans="1:9" ht="13.5">
      <c r="A8" s="61" t="s">
        <v>607</v>
      </c>
      <c r="B8" s="56"/>
      <c r="C8" s="62"/>
      <c r="D8" s="56"/>
      <c r="E8" s="62"/>
      <c r="F8" s="56"/>
      <c r="I8" s="63"/>
    </row>
    <row r="9" spans="1:9" ht="15">
      <c r="A9" s="61"/>
      <c r="B9" s="56"/>
      <c r="C9" s="64"/>
      <c r="D9" s="65"/>
      <c r="E9" s="64"/>
      <c r="F9" s="65"/>
      <c r="I9" s="63"/>
    </row>
    <row r="10" spans="1:9" ht="15">
      <c r="A10" s="67"/>
      <c r="B10" s="56"/>
      <c r="C10" s="76"/>
      <c r="D10" s="76"/>
      <c r="E10" s="64"/>
      <c r="F10" s="65"/>
      <c r="I10" s="63"/>
    </row>
    <row r="11" spans="1:6" ht="15" customHeight="1">
      <c r="A11" s="595" t="s">
        <v>4</v>
      </c>
      <c r="B11" s="596"/>
      <c r="C11" s="115">
        <v>45011</v>
      </c>
      <c r="D11" s="116">
        <f>C11/46137*100</f>
        <v>97.55944252985674</v>
      </c>
      <c r="E11" s="115">
        <v>34532</v>
      </c>
      <c r="F11" s="117">
        <f>E11/35483*100</f>
        <v>97.31984330524477</v>
      </c>
    </row>
    <row r="12" spans="1:6" ht="15" customHeight="1">
      <c r="A12" s="595" t="s">
        <v>0</v>
      </c>
      <c r="B12" s="596" t="s">
        <v>0</v>
      </c>
      <c r="C12" s="115">
        <v>76912</v>
      </c>
      <c r="D12" s="116">
        <f>C12/77133*100</f>
        <v>99.71348190787342</v>
      </c>
      <c r="E12" s="115">
        <v>59188</v>
      </c>
      <c r="F12" s="117">
        <f>E12/59081*100</f>
        <v>100.18110729337688</v>
      </c>
    </row>
    <row r="13" spans="1:6" ht="15" customHeight="1">
      <c r="A13" s="595" t="s">
        <v>5</v>
      </c>
      <c r="B13" s="596"/>
      <c r="C13" s="115">
        <v>152769</v>
      </c>
      <c r="D13" s="116">
        <f>C13/155703*100</f>
        <v>98.11564324386813</v>
      </c>
      <c r="E13" s="115">
        <v>119851</v>
      </c>
      <c r="F13" s="117">
        <f>E13/122143*100</f>
        <v>98.12351096665384</v>
      </c>
    </row>
    <row r="14" spans="1:6" ht="15" customHeight="1">
      <c r="A14" s="595" t="s">
        <v>6</v>
      </c>
      <c r="B14" s="596"/>
      <c r="C14" s="115">
        <v>17042</v>
      </c>
      <c r="D14" s="116">
        <f>C14/17771*100</f>
        <v>95.89781104045917</v>
      </c>
      <c r="E14" s="115">
        <v>12832</v>
      </c>
      <c r="F14" s="117">
        <f>E14/13464*100</f>
        <v>95.30600118835413</v>
      </c>
    </row>
    <row r="15" spans="1:6" ht="15" customHeight="1">
      <c r="A15" s="595" t="s">
        <v>7</v>
      </c>
      <c r="B15" s="596"/>
      <c r="C15" s="115">
        <v>100502</v>
      </c>
      <c r="D15" s="116">
        <f>C15/101601*100</f>
        <v>98.91831773309318</v>
      </c>
      <c r="E15" s="115">
        <v>83741</v>
      </c>
      <c r="F15" s="117">
        <f>E15/84667*100</f>
        <v>98.90630351849008</v>
      </c>
    </row>
    <row r="16" spans="1:6" ht="15" customHeight="1">
      <c r="A16" s="595" t="s">
        <v>8</v>
      </c>
      <c r="B16" s="596"/>
      <c r="C16" s="115">
        <v>97419</v>
      </c>
      <c r="D16" s="116">
        <f>C16/98532*100</f>
        <v>98.87041773231032</v>
      </c>
      <c r="E16" s="115">
        <v>66952</v>
      </c>
      <c r="F16" s="117">
        <f>E16/68492*100</f>
        <v>97.7515622262454</v>
      </c>
    </row>
    <row r="17" spans="1:6" ht="15" customHeight="1">
      <c r="A17" s="595" t="s">
        <v>9</v>
      </c>
      <c r="B17" s="596"/>
      <c r="C17" s="115">
        <v>179688</v>
      </c>
      <c r="D17" s="116">
        <f>C17/182187*100</f>
        <v>98.62833242767047</v>
      </c>
      <c r="E17" s="115">
        <v>145981</v>
      </c>
      <c r="F17" s="117">
        <f>E17/147865*100</f>
        <v>98.72586480911643</v>
      </c>
    </row>
    <row r="18" spans="1:6" ht="15" customHeight="1">
      <c r="A18" s="595" t="s">
        <v>10</v>
      </c>
      <c r="B18" s="596"/>
      <c r="C18" s="115">
        <v>24566</v>
      </c>
      <c r="D18" s="116">
        <f>C18/25256*100</f>
        <v>97.2679759265125</v>
      </c>
      <c r="E18" s="115">
        <v>20988</v>
      </c>
      <c r="F18" s="117">
        <f>E18/21601*100</f>
        <v>97.16216841812879</v>
      </c>
    </row>
    <row r="19" spans="1:6" ht="15" customHeight="1">
      <c r="A19" s="595" t="s">
        <v>11</v>
      </c>
      <c r="B19" s="596"/>
      <c r="C19" s="115">
        <v>70945</v>
      </c>
      <c r="D19" s="116">
        <f>C19/73423*100</f>
        <v>96.62503575173992</v>
      </c>
      <c r="E19" s="115">
        <v>54534</v>
      </c>
      <c r="F19" s="117">
        <f>E19/56808*100</f>
        <v>95.99704267004647</v>
      </c>
    </row>
    <row r="20" spans="1:6" ht="15" customHeight="1">
      <c r="A20" s="595" t="s">
        <v>12</v>
      </c>
      <c r="B20" s="596"/>
      <c r="C20" s="115">
        <v>85149</v>
      </c>
      <c r="D20" s="116">
        <f>C20/86572*100</f>
        <v>98.35628147668992</v>
      </c>
      <c r="E20" s="115">
        <v>69892</v>
      </c>
      <c r="F20" s="117">
        <f>E20/71173*100</f>
        <v>98.20016017309935</v>
      </c>
    </row>
    <row r="21" spans="1:6" ht="15" customHeight="1">
      <c r="A21" s="595" t="s">
        <v>13</v>
      </c>
      <c r="B21" s="596"/>
      <c r="C21" s="115">
        <v>37226</v>
      </c>
      <c r="D21" s="116">
        <f>C21/37599*100</f>
        <v>99.00795233915795</v>
      </c>
      <c r="E21" s="115">
        <v>27004</v>
      </c>
      <c r="F21" s="117">
        <f>E21/27170*100</f>
        <v>99.38903202061097</v>
      </c>
    </row>
    <row r="22" spans="1:6" ht="15" customHeight="1">
      <c r="A22" s="595" t="s">
        <v>14</v>
      </c>
      <c r="B22" s="596"/>
      <c r="C22" s="115">
        <v>35977</v>
      </c>
      <c r="D22" s="116">
        <f>C22/37281*100</f>
        <v>96.50223974678791</v>
      </c>
      <c r="E22" s="115">
        <v>29208</v>
      </c>
      <c r="F22" s="117">
        <f>E22/30480*100</f>
        <v>95.8267716535433</v>
      </c>
    </row>
    <row r="23" spans="1:6" ht="15" customHeight="1">
      <c r="A23" s="595" t="s">
        <v>15</v>
      </c>
      <c r="B23" s="596"/>
      <c r="C23" s="115">
        <v>64627</v>
      </c>
      <c r="D23" s="116">
        <f>C23/65774*100</f>
        <v>98.25614984644389</v>
      </c>
      <c r="E23" s="115">
        <v>51710</v>
      </c>
      <c r="F23" s="117">
        <f>E23/52690*100</f>
        <v>98.1400645283735</v>
      </c>
    </row>
    <row r="24" spans="1:6" ht="15" customHeight="1">
      <c r="A24" s="595" t="s">
        <v>1</v>
      </c>
      <c r="B24" s="596"/>
      <c r="C24" s="115">
        <v>43063</v>
      </c>
      <c r="D24" s="116">
        <f>C24/43932*100</f>
        <v>98.02194300282254</v>
      </c>
      <c r="E24" s="115">
        <v>32335</v>
      </c>
      <c r="F24" s="117">
        <f>E24/32867*100</f>
        <v>98.38135515866979</v>
      </c>
    </row>
    <row r="25" spans="1:6" ht="15" customHeight="1">
      <c r="A25" s="595" t="s">
        <v>2</v>
      </c>
      <c r="B25" s="596"/>
      <c r="C25" s="115">
        <v>117400</v>
      </c>
      <c r="D25" s="116">
        <f>C25/117724*100</f>
        <v>99.724779993884</v>
      </c>
      <c r="E25" s="115">
        <v>88679</v>
      </c>
      <c r="F25" s="117">
        <f>E25/88677*100</f>
        <v>100.00225537625313</v>
      </c>
    </row>
    <row r="26" spans="1:6" ht="15" customHeight="1">
      <c r="A26" s="595" t="s">
        <v>3</v>
      </c>
      <c r="B26" s="596"/>
      <c r="C26" s="115">
        <v>25845</v>
      </c>
      <c r="D26" s="116">
        <f>C26/26502*100</f>
        <v>97.52094181571202</v>
      </c>
      <c r="E26" s="118">
        <v>19842</v>
      </c>
      <c r="F26" s="121">
        <f>E26/20322*100</f>
        <v>97.6380277531739</v>
      </c>
    </row>
    <row r="27" spans="1:6" ht="12.75" customHeight="1">
      <c r="A27" s="69"/>
      <c r="B27" s="69"/>
      <c r="C27" s="48"/>
      <c r="D27" s="48"/>
      <c r="E27" s="56"/>
      <c r="F27" s="56"/>
    </row>
    <row r="28" spans="1:6" ht="30" customHeight="1">
      <c r="A28" s="616" t="s">
        <v>624</v>
      </c>
      <c r="B28" s="616"/>
      <c r="C28" s="616"/>
      <c r="D28" s="616"/>
      <c r="E28" s="616"/>
      <c r="F28" s="616"/>
    </row>
    <row r="29" spans="1:6" ht="30.75" customHeight="1">
      <c r="A29" s="608" t="s">
        <v>625</v>
      </c>
      <c r="B29" s="608"/>
      <c r="C29" s="608"/>
      <c r="D29" s="608"/>
      <c r="E29" s="608"/>
      <c r="F29" s="608"/>
    </row>
    <row r="30" ht="15">
      <c r="A30" s="113"/>
    </row>
    <row r="31" ht="12.75" customHeight="1"/>
    <row r="32" ht="12.75" customHeight="1"/>
    <row r="33" ht="11.25" customHeight="1"/>
    <row r="34" ht="11.25" customHeight="1"/>
    <row r="35" ht="11.25" customHeight="1"/>
    <row r="36" ht="11.25" customHeight="1"/>
    <row r="37" ht="11.25" customHeight="1"/>
    <row r="38" ht="11.25" customHeight="1"/>
    <row r="39" ht="11.25" customHeight="1"/>
    <row r="40" ht="11.25" customHeight="1"/>
  </sheetData>
  <mergeCells count="24">
    <mergeCell ref="A21:B21"/>
    <mergeCell ref="A6:B6"/>
    <mergeCell ref="A11:B11"/>
    <mergeCell ref="A12:B12"/>
    <mergeCell ref="A13:B13"/>
    <mergeCell ref="A14:B14"/>
    <mergeCell ref="A20:B20"/>
    <mergeCell ref="A18:B18"/>
    <mergeCell ref="A19:B19"/>
    <mergeCell ref="A29:F29"/>
    <mergeCell ref="A22:B22"/>
    <mergeCell ref="A23:B23"/>
    <mergeCell ref="A24:B24"/>
    <mergeCell ref="A25:B25"/>
    <mergeCell ref="A26:B26"/>
    <mergeCell ref="A28:F28"/>
    <mergeCell ref="A1:F1"/>
    <mergeCell ref="A2:F2"/>
    <mergeCell ref="A15:B15"/>
    <mergeCell ref="A16:B16"/>
    <mergeCell ref="A17:B17"/>
    <mergeCell ref="C4:D4"/>
    <mergeCell ref="E4:F4"/>
    <mergeCell ref="A4:B5"/>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&amp;R&amp;"Arial,Normalny"&amp;10 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Layout" workbookViewId="0" topLeftCell="A19">
      <selection activeCell="E31" sqref="E31"/>
    </sheetView>
  </sheetViews>
  <sheetFormatPr defaultColWidth="9.140625" defaultRowHeight="15"/>
  <cols>
    <col min="1" max="1" width="17.421875" style="46" customWidth="1"/>
    <col min="2" max="2" width="10.57421875" style="46" customWidth="1"/>
    <col min="3" max="6" width="14.7109375" style="46" customWidth="1"/>
    <col min="7" max="16384" width="9.140625" style="46" customWidth="1"/>
  </cols>
  <sheetData>
    <row r="1" spans="1:6" ht="27.95" customHeight="1">
      <c r="A1" s="584" t="s">
        <v>265</v>
      </c>
      <c r="B1" s="584"/>
      <c r="C1" s="584"/>
      <c r="D1" s="584"/>
      <c r="E1" s="584"/>
      <c r="F1" s="584"/>
    </row>
    <row r="2" spans="1:9" ht="27.95" customHeight="1">
      <c r="A2" s="579" t="s">
        <v>266</v>
      </c>
      <c r="B2" s="579"/>
      <c r="C2" s="579"/>
      <c r="D2" s="579"/>
      <c r="E2" s="579"/>
      <c r="F2" s="579"/>
      <c r="G2" s="47"/>
      <c r="H2" s="47"/>
      <c r="I2" s="47"/>
    </row>
    <row r="3" spans="1:9" ht="9.95" customHeight="1">
      <c r="A3" s="97"/>
      <c r="B3" s="97"/>
      <c r="C3" s="97"/>
      <c r="D3" s="97"/>
      <c r="E3" s="97"/>
      <c r="F3" s="97"/>
      <c r="G3" s="47"/>
      <c r="H3" s="47"/>
      <c r="I3" s="47"/>
    </row>
    <row r="4" spans="1:6" ht="46.5" customHeight="1">
      <c r="A4" s="597" t="s">
        <v>602</v>
      </c>
      <c r="B4" s="592"/>
      <c r="C4" s="589" t="s">
        <v>613</v>
      </c>
      <c r="D4" s="590"/>
      <c r="E4" s="589" t="s">
        <v>614</v>
      </c>
      <c r="F4" s="591"/>
    </row>
    <row r="5" spans="1:6" ht="33.75" customHeight="1">
      <c r="A5" s="598"/>
      <c r="B5" s="593"/>
      <c r="C5" s="50" t="s">
        <v>605</v>
      </c>
      <c r="D5" s="50" t="s">
        <v>560</v>
      </c>
      <c r="E5" s="50" t="s">
        <v>605</v>
      </c>
      <c r="F5" s="51" t="s">
        <v>560</v>
      </c>
    </row>
    <row r="6" spans="1:6" ht="15">
      <c r="A6" s="600"/>
      <c r="B6" s="601"/>
      <c r="C6" s="55"/>
      <c r="D6" s="56"/>
      <c r="E6" s="55"/>
      <c r="F6" s="56"/>
    </row>
    <row r="7" spans="1:6" ht="13.5">
      <c r="A7" s="57" t="s">
        <v>606</v>
      </c>
      <c r="B7" s="65">
        <v>2017</v>
      </c>
      <c r="C7" s="58">
        <v>212415</v>
      </c>
      <c r="D7" s="83">
        <f>C7/215502*100</f>
        <v>98.5675306957708</v>
      </c>
      <c r="E7" s="58">
        <v>44334</v>
      </c>
      <c r="F7" s="60">
        <f>E7/44486*100</f>
        <v>99.65831947129435</v>
      </c>
    </row>
    <row r="8" spans="1:9" ht="13.5">
      <c r="A8" s="61" t="s">
        <v>607</v>
      </c>
      <c r="B8" s="56"/>
      <c r="C8" s="62"/>
      <c r="D8" s="56"/>
      <c r="E8" s="62"/>
      <c r="F8" s="56"/>
      <c r="I8" s="63"/>
    </row>
    <row r="9" spans="1:9" ht="15">
      <c r="A9" s="61"/>
      <c r="B9" s="56"/>
      <c r="C9" s="64"/>
      <c r="D9" s="65"/>
      <c r="E9" s="64"/>
      <c r="F9" s="65"/>
      <c r="I9" s="63"/>
    </row>
    <row r="10" spans="1:6" ht="15" customHeight="1">
      <c r="A10" s="595" t="s">
        <v>4</v>
      </c>
      <c r="B10" s="596"/>
      <c r="C10" s="118">
        <v>8718</v>
      </c>
      <c r="D10" s="119">
        <f>C10/8898*100</f>
        <v>97.97707349966285</v>
      </c>
      <c r="E10" s="122">
        <v>1749</v>
      </c>
      <c r="F10" s="121">
        <f>E10/1744*100</f>
        <v>100.28669724770643</v>
      </c>
    </row>
    <row r="11" spans="1:6" ht="15" customHeight="1">
      <c r="A11" s="595" t="s">
        <v>0</v>
      </c>
      <c r="B11" s="596" t="s">
        <v>0</v>
      </c>
      <c r="C11" s="118">
        <v>15028</v>
      </c>
      <c r="D11" s="119">
        <f>C11/15311*100</f>
        <v>98.15165567239241</v>
      </c>
      <c r="E11" s="122">
        <v>2693</v>
      </c>
      <c r="F11" s="121">
        <f>E11/2737*100</f>
        <v>98.39240043843624</v>
      </c>
    </row>
    <row r="12" spans="1:6" ht="15" customHeight="1">
      <c r="A12" s="595" t="s">
        <v>5</v>
      </c>
      <c r="B12" s="596"/>
      <c r="C12" s="118">
        <v>27634</v>
      </c>
      <c r="D12" s="119">
        <f>C12/28263*100</f>
        <v>97.77447546261897</v>
      </c>
      <c r="E12" s="122">
        <v>5284</v>
      </c>
      <c r="F12" s="121">
        <f>E12/5296*100</f>
        <v>99.77341389728097</v>
      </c>
    </row>
    <row r="13" spans="1:6" ht="15" customHeight="1">
      <c r="A13" s="595" t="s">
        <v>6</v>
      </c>
      <c r="B13" s="596"/>
      <c r="C13" s="118">
        <v>3570</v>
      </c>
      <c r="D13" s="119">
        <f>C13/3665*100</f>
        <v>97.40791268758527</v>
      </c>
      <c r="E13" s="122">
        <v>634</v>
      </c>
      <c r="F13" s="121">
        <f>E13/635*100</f>
        <v>99.84251968503936</v>
      </c>
    </row>
    <row r="14" spans="1:6" ht="15" customHeight="1">
      <c r="A14" s="595" t="s">
        <v>7</v>
      </c>
      <c r="B14" s="596"/>
      <c r="C14" s="118">
        <v>12917</v>
      </c>
      <c r="D14" s="119">
        <f>C14/13050*100</f>
        <v>98.9808429118774</v>
      </c>
      <c r="E14" s="122">
        <v>3841</v>
      </c>
      <c r="F14" s="121">
        <f>E14/3882*100</f>
        <v>98.94384337970118</v>
      </c>
    </row>
    <row r="15" spans="1:6" ht="15" customHeight="1">
      <c r="A15" s="595" t="s">
        <v>8</v>
      </c>
      <c r="B15" s="596"/>
      <c r="C15" s="118">
        <v>26894</v>
      </c>
      <c r="D15" s="119">
        <f>C15/26526*100</f>
        <v>101.38731810299329</v>
      </c>
      <c r="E15" s="122">
        <v>3551</v>
      </c>
      <c r="F15" s="121">
        <f>E15/3492*100</f>
        <v>101.68957617411225</v>
      </c>
    </row>
    <row r="16" spans="1:6" ht="15" customHeight="1">
      <c r="A16" s="595" t="s">
        <v>9</v>
      </c>
      <c r="B16" s="596"/>
      <c r="C16" s="118">
        <v>26455</v>
      </c>
      <c r="D16" s="119">
        <f>C16/27020*100</f>
        <v>97.90895632864544</v>
      </c>
      <c r="E16" s="122">
        <v>7252</v>
      </c>
      <c r="F16" s="121">
        <f>E16/7284*100</f>
        <v>99.56068094453597</v>
      </c>
    </row>
    <row r="17" spans="1:6" ht="15" customHeight="1">
      <c r="A17" s="595" t="s">
        <v>10</v>
      </c>
      <c r="B17" s="596"/>
      <c r="C17" s="118">
        <v>2766</v>
      </c>
      <c r="D17" s="119">
        <f>C17/2832*100</f>
        <v>97.66949152542372</v>
      </c>
      <c r="E17" s="122">
        <v>809</v>
      </c>
      <c r="F17" s="121">
        <f>E17/820*100</f>
        <v>98.65853658536585</v>
      </c>
    </row>
    <row r="18" spans="1:6" ht="15" customHeight="1">
      <c r="A18" s="595" t="s">
        <v>11</v>
      </c>
      <c r="B18" s="596"/>
      <c r="C18" s="118">
        <v>14000</v>
      </c>
      <c r="D18" s="119">
        <f>C18/14182*100</f>
        <v>98.7166831194472</v>
      </c>
      <c r="E18" s="122">
        <v>2409</v>
      </c>
      <c r="F18" s="121">
        <f>E18/2430*100</f>
        <v>99.1358024691358</v>
      </c>
    </row>
    <row r="19" spans="1:6" ht="15" customHeight="1">
      <c r="A19" s="595" t="s">
        <v>12</v>
      </c>
      <c r="B19" s="596"/>
      <c r="C19" s="118">
        <v>12154</v>
      </c>
      <c r="D19" s="119">
        <f>C19/12280*100</f>
        <v>98.97394136807817</v>
      </c>
      <c r="E19" s="122">
        <v>3102</v>
      </c>
      <c r="F19" s="121">
        <f>E19/3118*100</f>
        <v>99.4868505452213</v>
      </c>
    </row>
    <row r="20" spans="1:6" ht="15" customHeight="1">
      <c r="A20" s="595" t="s">
        <v>13</v>
      </c>
      <c r="B20" s="596"/>
      <c r="C20" s="118">
        <v>8593</v>
      </c>
      <c r="D20" s="119">
        <f>C20/8794*100</f>
        <v>97.71435069365477</v>
      </c>
      <c r="E20" s="122">
        <v>1629</v>
      </c>
      <c r="F20" s="121">
        <f>E20/1635*100</f>
        <v>99.63302752293578</v>
      </c>
    </row>
    <row r="21" spans="1:6" ht="15" customHeight="1">
      <c r="A21" s="595" t="s">
        <v>14</v>
      </c>
      <c r="B21" s="596"/>
      <c r="C21" s="118">
        <v>5605</v>
      </c>
      <c r="D21" s="119">
        <f>C21/5624*100</f>
        <v>99.66216216216216</v>
      </c>
      <c r="E21" s="122">
        <v>1103</v>
      </c>
      <c r="F21" s="121">
        <f>E21/1104*100</f>
        <v>99.90942028985508</v>
      </c>
    </row>
    <row r="22" spans="1:6" ht="15" customHeight="1">
      <c r="A22" s="595" t="s">
        <v>15</v>
      </c>
      <c r="B22" s="596"/>
      <c r="C22" s="118">
        <v>10433</v>
      </c>
      <c r="D22" s="119">
        <f>C22/10580*100</f>
        <v>98.61058601134215</v>
      </c>
      <c r="E22" s="122">
        <v>2484</v>
      </c>
      <c r="F22" s="121">
        <f>E22/2504*100</f>
        <v>99.20127795527156</v>
      </c>
    </row>
    <row r="23" spans="1:6" ht="15" customHeight="1">
      <c r="A23" s="595" t="s">
        <v>1</v>
      </c>
      <c r="B23" s="596"/>
      <c r="C23" s="118">
        <v>8703</v>
      </c>
      <c r="D23" s="119">
        <f>C23/9031*100</f>
        <v>96.3680655519876</v>
      </c>
      <c r="E23" s="122">
        <v>2026</v>
      </c>
      <c r="F23" s="121">
        <f>E23/2034*100</f>
        <v>99.60668633235005</v>
      </c>
    </row>
    <row r="24" spans="1:6" ht="15" customHeight="1">
      <c r="A24" s="595" t="s">
        <v>2</v>
      </c>
      <c r="B24" s="596"/>
      <c r="C24" s="118">
        <v>23952</v>
      </c>
      <c r="D24" s="119">
        <f>C24/24275*100</f>
        <v>98.66941297631307</v>
      </c>
      <c r="E24" s="122">
        <v>4761</v>
      </c>
      <c r="F24" s="121">
        <f>E24/4764*100</f>
        <v>99.93702770780857</v>
      </c>
    </row>
    <row r="25" spans="1:6" ht="15" customHeight="1">
      <c r="A25" s="595" t="s">
        <v>3</v>
      </c>
      <c r="B25" s="596"/>
      <c r="C25" s="118">
        <v>4993</v>
      </c>
      <c r="D25" s="119">
        <f>C25/5171*100</f>
        <v>96.55772577837942</v>
      </c>
      <c r="E25" s="122">
        <v>1008</v>
      </c>
      <c r="F25" s="121">
        <f>E25/1007*100</f>
        <v>100.09930486593844</v>
      </c>
    </row>
    <row r="26" spans="1:6" ht="12.75" customHeight="1">
      <c r="A26" s="69"/>
      <c r="B26" s="69"/>
      <c r="C26" s="48"/>
      <c r="D26" s="48"/>
      <c r="E26" s="56"/>
      <c r="F26" s="56"/>
    </row>
  </sheetData>
  <mergeCells count="22">
    <mergeCell ref="A22:B22"/>
    <mergeCell ref="A19:B19"/>
    <mergeCell ref="C4:D4"/>
    <mergeCell ref="E4:F4"/>
    <mergeCell ref="A4:B5"/>
    <mergeCell ref="A21:B21"/>
    <mergeCell ref="A1:F1"/>
    <mergeCell ref="A2:F2"/>
    <mergeCell ref="A23:B23"/>
    <mergeCell ref="A24:B24"/>
    <mergeCell ref="A25:B25"/>
    <mergeCell ref="A20:B20"/>
    <mergeCell ref="A6:B6"/>
    <mergeCell ref="A10:B10"/>
    <mergeCell ref="A11:B11"/>
    <mergeCell ref="A12:B12"/>
    <mergeCell ref="A13:B13"/>
    <mergeCell ref="A14:B14"/>
    <mergeCell ref="A15:B15"/>
    <mergeCell ref="A16:B16"/>
    <mergeCell ref="A17:B17"/>
    <mergeCell ref="A18:B18"/>
  </mergeCells>
  <printOptions/>
  <pageMargins left="0.7874015748031497" right="0.7874015748031497" top="0.984251968503937" bottom="0.984251968503937" header="0.31496062992125984" footer="0.31496062992125984"/>
  <pageSetup fitToHeight="1" fitToWidth="1" horizontalDpi="600" verticalDpi="600" orientation="portrait" paperSize="9" scale="98" r:id="rId1"/>
  <headerFooter>
    <oddFooter>&amp;L&amp;"Arial,Normalny"&amp;10 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Layout" workbookViewId="0" topLeftCell="A19">
      <selection activeCell="E31" sqref="E31"/>
    </sheetView>
  </sheetViews>
  <sheetFormatPr defaultColWidth="9.140625" defaultRowHeight="15"/>
  <cols>
    <col min="1" max="1" width="27.00390625" style="46" customWidth="1"/>
    <col min="2" max="2" width="7.7109375" style="46" customWidth="1"/>
    <col min="3" max="4" width="25.7109375" style="46" customWidth="1"/>
    <col min="5" max="5" width="17.7109375" style="46" customWidth="1"/>
    <col min="6" max="16384" width="9.140625" style="46" customWidth="1"/>
  </cols>
  <sheetData>
    <row r="1" spans="1:4" ht="27.95" customHeight="1">
      <c r="A1" s="584" t="s">
        <v>957</v>
      </c>
      <c r="B1" s="584"/>
      <c r="C1" s="584"/>
      <c r="D1" s="584"/>
    </row>
    <row r="2" spans="1:7" ht="27.95" customHeight="1">
      <c r="A2" s="579" t="s">
        <v>958</v>
      </c>
      <c r="B2" s="579"/>
      <c r="C2" s="579"/>
      <c r="D2" s="579"/>
      <c r="E2" s="47"/>
      <c r="F2" s="47"/>
      <c r="G2" s="47"/>
    </row>
    <row r="3" spans="1:7" ht="9.95" customHeight="1">
      <c r="A3" s="97"/>
      <c r="B3" s="97"/>
      <c r="C3" s="97"/>
      <c r="D3" s="97"/>
      <c r="E3" s="47"/>
      <c r="F3" s="47"/>
      <c r="G3" s="47"/>
    </row>
    <row r="4" spans="1:4" ht="46.5" customHeight="1">
      <c r="A4" s="597" t="s">
        <v>602</v>
      </c>
      <c r="B4" s="592"/>
      <c r="C4" s="81" t="s">
        <v>603</v>
      </c>
      <c r="D4" s="81" t="s">
        <v>604</v>
      </c>
    </row>
    <row r="5" spans="1:4" ht="33.75" customHeight="1">
      <c r="A5" s="598"/>
      <c r="B5" s="593"/>
      <c r="C5" s="589" t="s">
        <v>617</v>
      </c>
      <c r="D5" s="591"/>
    </row>
    <row r="6" spans="1:4" ht="15">
      <c r="A6" s="600"/>
      <c r="B6" s="601"/>
      <c r="C6" s="82"/>
      <c r="D6" s="82"/>
    </row>
    <row r="7" spans="1:4" ht="13.5">
      <c r="A7" s="124" t="s">
        <v>267</v>
      </c>
      <c r="B7" s="65">
        <v>2017</v>
      </c>
      <c r="C7" s="84" t="s">
        <v>628</v>
      </c>
      <c r="D7" s="76" t="s">
        <v>629</v>
      </c>
    </row>
    <row r="8" spans="1:4" ht="15" customHeight="1">
      <c r="A8" s="125" t="s">
        <v>630</v>
      </c>
      <c r="B8" s="56">
        <v>2016</v>
      </c>
      <c r="C8" s="126">
        <v>1194.4</v>
      </c>
      <c r="D8" s="127">
        <v>934.3</v>
      </c>
    </row>
    <row r="9" spans="1:5" ht="15">
      <c r="A9" s="61"/>
      <c r="B9" s="56"/>
      <c r="C9" s="88"/>
      <c r="D9" s="88"/>
      <c r="E9" s="63"/>
    </row>
    <row r="10" spans="1:5" ht="15" customHeight="1">
      <c r="A10" s="606" t="s">
        <v>867</v>
      </c>
      <c r="B10" s="607"/>
      <c r="C10" s="109">
        <v>165.129</v>
      </c>
      <c r="D10" s="109">
        <v>135.451</v>
      </c>
      <c r="E10" s="63"/>
    </row>
    <row r="11" spans="1:4" ht="15" customHeight="1">
      <c r="A11" s="595" t="s">
        <v>7</v>
      </c>
      <c r="B11" s="596"/>
      <c r="C11" s="128">
        <v>100.502</v>
      </c>
      <c r="D11" s="129">
        <v>83.741</v>
      </c>
    </row>
    <row r="12" spans="1:4" ht="15" customHeight="1">
      <c r="A12" s="595" t="s">
        <v>15</v>
      </c>
      <c r="B12" s="596"/>
      <c r="C12" s="128">
        <v>64.627</v>
      </c>
      <c r="D12" s="129">
        <v>51.71</v>
      </c>
    </row>
    <row r="13" spans="1:4" ht="15" customHeight="1">
      <c r="A13" s="606" t="s">
        <v>868</v>
      </c>
      <c r="B13" s="607"/>
      <c r="C13" s="130">
        <v>133.396</v>
      </c>
      <c r="D13" s="109">
        <v>96.16</v>
      </c>
    </row>
    <row r="14" spans="1:4" ht="15" customHeight="1">
      <c r="A14" s="595" t="s">
        <v>8</v>
      </c>
      <c r="B14" s="596"/>
      <c r="C14" s="128">
        <v>97.419</v>
      </c>
      <c r="D14" s="129">
        <v>66.952</v>
      </c>
    </row>
    <row r="15" spans="1:4" ht="15" customHeight="1">
      <c r="A15" s="595" t="s">
        <v>14</v>
      </c>
      <c r="B15" s="596"/>
      <c r="C15" s="128">
        <v>35.977</v>
      </c>
      <c r="D15" s="129">
        <v>29.208</v>
      </c>
    </row>
    <row r="16" spans="1:4" ht="15" customHeight="1">
      <c r="A16" s="606" t="s">
        <v>869</v>
      </c>
      <c r="B16" s="607"/>
      <c r="C16" s="130">
        <v>308.863</v>
      </c>
      <c r="D16" s="109">
        <v>244.277</v>
      </c>
    </row>
    <row r="17" spans="1:4" ht="15" customHeight="1">
      <c r="A17" s="595" t="s">
        <v>5</v>
      </c>
      <c r="B17" s="596"/>
      <c r="C17" s="131">
        <v>152.769</v>
      </c>
      <c r="D17" s="129">
        <v>119.851</v>
      </c>
    </row>
    <row r="18" spans="1:4" ht="15" customHeight="1">
      <c r="A18" s="595" t="s">
        <v>11</v>
      </c>
      <c r="B18" s="596"/>
      <c r="C18" s="131">
        <v>70.945</v>
      </c>
      <c r="D18" s="129">
        <v>54.534</v>
      </c>
    </row>
    <row r="19" spans="1:4" ht="15" customHeight="1">
      <c r="A19" s="595" t="s">
        <v>12</v>
      </c>
      <c r="B19" s="596"/>
      <c r="C19" s="131">
        <v>85.149</v>
      </c>
      <c r="D19" s="129">
        <v>69.892</v>
      </c>
    </row>
    <row r="20" spans="1:4" ht="15" customHeight="1">
      <c r="A20" s="604" t="s">
        <v>870</v>
      </c>
      <c r="B20" s="605"/>
      <c r="C20" s="132">
        <v>160.287</v>
      </c>
      <c r="D20" s="109">
        <v>121.353</v>
      </c>
    </row>
    <row r="21" spans="1:4" ht="15" customHeight="1">
      <c r="A21" s="602" t="s">
        <v>6</v>
      </c>
      <c r="B21" s="603"/>
      <c r="C21" s="131">
        <v>17.042</v>
      </c>
      <c r="D21" s="129">
        <v>12.832</v>
      </c>
    </row>
    <row r="22" spans="1:4" ht="15" customHeight="1">
      <c r="A22" s="602" t="s">
        <v>2</v>
      </c>
      <c r="B22" s="603"/>
      <c r="C22" s="131">
        <v>117.4</v>
      </c>
      <c r="D22" s="129">
        <v>88.679</v>
      </c>
    </row>
    <row r="23" spans="1:4" ht="15" customHeight="1">
      <c r="A23" s="602" t="s">
        <v>3</v>
      </c>
      <c r="B23" s="603"/>
      <c r="C23" s="131">
        <v>25.845</v>
      </c>
      <c r="D23" s="128">
        <v>19.842</v>
      </c>
    </row>
    <row r="24" spans="1:4" ht="15" customHeight="1">
      <c r="A24" s="604" t="s">
        <v>871</v>
      </c>
      <c r="B24" s="605"/>
      <c r="C24" s="132">
        <v>69.577</v>
      </c>
      <c r="D24" s="130">
        <v>55.52</v>
      </c>
    </row>
    <row r="25" spans="1:4" ht="15" customHeight="1">
      <c r="A25" s="602" t="s">
        <v>4</v>
      </c>
      <c r="B25" s="603"/>
      <c r="C25" s="131">
        <v>45.011</v>
      </c>
      <c r="D25" s="129">
        <v>34.532</v>
      </c>
    </row>
    <row r="26" spans="1:4" ht="15" customHeight="1">
      <c r="A26" s="602" t="s">
        <v>10</v>
      </c>
      <c r="B26" s="603"/>
      <c r="C26" s="131">
        <v>24.566</v>
      </c>
      <c r="D26" s="129">
        <v>20.988</v>
      </c>
    </row>
    <row r="27" spans="1:4" ht="15" customHeight="1">
      <c r="A27" s="604" t="s">
        <v>872</v>
      </c>
      <c r="B27" s="605"/>
      <c r="C27" s="132">
        <v>157.201</v>
      </c>
      <c r="D27" s="109">
        <v>118.527</v>
      </c>
    </row>
    <row r="28" spans="1:4" ht="15" customHeight="1">
      <c r="A28" s="602" t="s">
        <v>0</v>
      </c>
      <c r="B28" s="603"/>
      <c r="C28" s="131">
        <v>76.912</v>
      </c>
      <c r="D28" s="129">
        <v>59.188</v>
      </c>
    </row>
    <row r="29" spans="1:4" ht="15" customHeight="1">
      <c r="A29" s="602" t="s">
        <v>13</v>
      </c>
      <c r="B29" s="603"/>
      <c r="C29" s="131">
        <v>37.226</v>
      </c>
      <c r="D29" s="129">
        <v>27.004</v>
      </c>
    </row>
    <row r="30" spans="1:4" ht="15" customHeight="1">
      <c r="A30" s="595" t="s">
        <v>1</v>
      </c>
      <c r="B30" s="596"/>
      <c r="C30" s="131">
        <v>43.063</v>
      </c>
      <c r="D30" s="129">
        <v>32.335</v>
      </c>
    </row>
    <row r="31" spans="1:4" ht="15" customHeight="1">
      <c r="A31" s="617" t="s">
        <v>880</v>
      </c>
      <c r="B31" s="618"/>
      <c r="C31" s="132">
        <v>179.688</v>
      </c>
      <c r="D31" s="130">
        <v>145.981</v>
      </c>
    </row>
    <row r="32" spans="1:4" ht="15" customHeight="1">
      <c r="A32" s="595" t="s">
        <v>562</v>
      </c>
      <c r="B32" s="596"/>
      <c r="C32" s="131">
        <v>179.688</v>
      </c>
      <c r="D32" s="129">
        <v>145.981</v>
      </c>
    </row>
    <row r="33" spans="1:4" ht="12.75" customHeight="1">
      <c r="A33" s="69"/>
      <c r="B33" s="69"/>
      <c r="C33" s="48"/>
      <c r="D33" s="56"/>
    </row>
    <row r="34" spans="1:6" ht="27.75" customHeight="1">
      <c r="A34" s="616" t="s">
        <v>626</v>
      </c>
      <c r="B34" s="616"/>
      <c r="C34" s="616"/>
      <c r="D34" s="616"/>
      <c r="E34" s="123"/>
      <c r="F34" s="123"/>
    </row>
    <row r="35" spans="1:6" ht="31.5" customHeight="1">
      <c r="A35" s="608" t="s">
        <v>627</v>
      </c>
      <c r="B35" s="608"/>
      <c r="C35" s="608"/>
      <c r="D35" s="608"/>
      <c r="E35" s="18"/>
      <c r="F35" s="18"/>
    </row>
    <row r="36" spans="1:4" ht="23.25" customHeight="1">
      <c r="A36" s="79"/>
      <c r="B36" s="79"/>
      <c r="C36" s="79"/>
      <c r="D36" s="79"/>
    </row>
    <row r="37" spans="1:4" ht="15">
      <c r="A37" s="80"/>
      <c r="B37" s="80"/>
      <c r="C37" s="80"/>
      <c r="D37" s="80"/>
    </row>
    <row r="38" spans="1:4" ht="21.75" customHeight="1">
      <c r="A38" s="80"/>
      <c r="B38" s="80"/>
      <c r="C38" s="80"/>
      <c r="D38" s="80"/>
    </row>
    <row r="39" spans="1:4" ht="34.5" customHeight="1">
      <c r="A39" s="80"/>
      <c r="B39" s="80"/>
      <c r="C39" s="80"/>
      <c r="D39" s="80"/>
    </row>
  </sheetData>
  <mergeCells count="30">
    <mergeCell ref="A31:B31"/>
    <mergeCell ref="A29:B29"/>
    <mergeCell ref="A12:B12"/>
    <mergeCell ref="A13:B13"/>
    <mergeCell ref="C5:D5"/>
    <mergeCell ref="A4:B5"/>
    <mergeCell ref="A14:B14"/>
    <mergeCell ref="A23:B23"/>
    <mergeCell ref="A24:B24"/>
    <mergeCell ref="A35:D35"/>
    <mergeCell ref="A32:B32"/>
    <mergeCell ref="A34:D34"/>
    <mergeCell ref="A25:B25"/>
    <mergeCell ref="A15:B15"/>
    <mergeCell ref="A16:B16"/>
    <mergeCell ref="A17:B17"/>
    <mergeCell ref="A18:B18"/>
    <mergeCell ref="A19:B19"/>
    <mergeCell ref="A20:B20"/>
    <mergeCell ref="A21:B21"/>
    <mergeCell ref="A22:B22"/>
    <mergeCell ref="A28:B28"/>
    <mergeCell ref="A27:B27"/>
    <mergeCell ref="A26:B26"/>
    <mergeCell ref="A30:B30"/>
    <mergeCell ref="A1:D1"/>
    <mergeCell ref="A2:D2"/>
    <mergeCell ref="A6:B6"/>
    <mergeCell ref="A10:B10"/>
    <mergeCell ref="A11:B11"/>
  </mergeCells>
  <printOptions/>
  <pageMargins left="0.7874015748031497" right="0.7874015748031497" top="0.984251968503937" bottom="0.984251968503937" header="0.31496062992125984" footer="0.31496062992125984"/>
  <pageSetup fitToHeight="1" fitToWidth="1" horizontalDpi="600" verticalDpi="600" orientation="portrait" paperSize="9" scale="99" r:id="rId1"/>
  <headerFooter>
    <oddFooter>&amp;R&amp;"Arial,Normalny"&amp;10 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and other pensions in 2017</dc:title>
  <dc:subject/>
  <dc:creator>Marzęcka  Joanna</dc:creator>
  <cp:keywords/>
  <dc:description/>
  <cp:lastModifiedBy>Koszela Alicja</cp:lastModifiedBy>
  <cp:lastPrinted>2018-11-19T13:40:27Z</cp:lastPrinted>
  <dcterms:created xsi:type="dcterms:W3CDTF">2017-06-28T06:47:31Z</dcterms:created>
  <dcterms:modified xsi:type="dcterms:W3CDTF">2018-11-23T10:30:50Z</dcterms:modified>
  <cp:category/>
  <cp:version/>
  <cp:contentType/>
  <cp:contentStatus/>
</cp:coreProperties>
</file>